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570" windowWidth="7680" windowHeight="4170" tabRatio="594" activeTab="1"/>
  </bookViews>
  <sheets>
    <sheet name="Tabelle1" sheetId="1" r:id="rId1"/>
    <sheet name="Diagramm1" sheetId="2" r:id="rId2"/>
    <sheet name="M1 95%" sheetId="3" r:id="rId3"/>
    <sheet name="M1 1000" sheetId="4" r:id="rId4"/>
    <sheet name="M3 95%" sheetId="5" r:id="rId5"/>
    <sheet name="M3 1000" sheetId="6" r:id="rId6"/>
  </sheets>
  <definedNames/>
  <calcPr fullCalcOnLoad="1"/>
</workbook>
</file>

<file path=xl/comments1.xml><?xml version="1.0" encoding="utf-8"?>
<comments xmlns="http://schemas.openxmlformats.org/spreadsheetml/2006/main">
  <authors>
    <author>Dr. Harald Wozniewski</author>
  </authors>
  <commentList>
    <comment ref="A1" authorId="0">
      <text>
        <r>
          <rPr>
            <b/>
            <sz val="8"/>
            <rFont val="Tahoma"/>
            <family val="0"/>
          </rPr>
          <t>Dr. Harald Wozniewski:</t>
        </r>
        <r>
          <rPr>
            <sz val="8"/>
            <rFont val="Tahoma"/>
            <family val="0"/>
          </rPr>
          <t xml:space="preserve">
Bei den Gesamtbeträgen der Einkünfte handelt es sich um die Einkünfte im steuerlichen Sinn 
VOR ABZUG VON  
Sonderausgaben,
außergewöhnlichen Belastungen, 
Kinderfreibeträgen und 
Einkommensteuer</t>
        </r>
      </text>
    </comment>
  </commentList>
</comments>
</file>

<file path=xl/sharedStrings.xml><?xml version="1.0" encoding="utf-8"?>
<sst xmlns="http://schemas.openxmlformats.org/spreadsheetml/2006/main" count="227" uniqueCount="60">
  <si>
    <t>Gesamtbetrag der Einkünfte bis ...</t>
  </si>
  <si>
    <t>mehr</t>
  </si>
  <si>
    <t>Summen</t>
  </si>
  <si>
    <t>DM je Stpfl.</t>
  </si>
  <si>
    <t>Stpfl.</t>
  </si>
  <si>
    <t>1000 DM</t>
  </si>
  <si>
    <t>Die nächsten 100.000 Reichen</t>
  </si>
  <si>
    <t>Die nächsten 10.000 Reichen</t>
  </si>
  <si>
    <t>Die 1.000 Reichsten</t>
  </si>
  <si>
    <t>Die nächsten 1.000.000 Reichen</t>
  </si>
  <si>
    <t>Die übrige Bevölkerung</t>
  </si>
  <si>
    <t>Stunden/Jahr</t>
  </si>
  <si>
    <t>Stundenlohn 230 Tage im Jahr zu je 8 Stunden sind</t>
  </si>
  <si>
    <t>S. 51 (Seite der Statistik)</t>
  </si>
  <si>
    <t>S. 45</t>
  </si>
  <si>
    <t>S. 29</t>
  </si>
  <si>
    <t>S. 18, 20</t>
  </si>
  <si>
    <t>S. 20, 22</t>
  </si>
  <si>
    <t>S. 22, 24</t>
  </si>
  <si>
    <t>S. 26</t>
  </si>
  <si>
    <t>S. 22, 26</t>
  </si>
  <si>
    <t>S. 22, 25</t>
  </si>
  <si>
    <t>S. 24, 30</t>
  </si>
  <si>
    <t>S. 16, 26</t>
  </si>
  <si>
    <t>S. 14, 28</t>
  </si>
  <si>
    <t>M3</t>
  </si>
  <si>
    <t>Anteil der "übrigen Bevölkerung" an M3</t>
  </si>
  <si>
    <t>Quelle: Statistisches Bundesamt, Statistisches Jahruch (Jahr, Seite):</t>
  </si>
  <si>
    <t>Anteil</t>
  </si>
  <si>
    <t>1980, 293</t>
  </si>
  <si>
    <t>1986, 310</t>
  </si>
  <si>
    <t>1991, 345</t>
  </si>
  <si>
    <t>1998, 333</t>
  </si>
  <si>
    <t>Einkommensentwicklung parallel zu M3</t>
  </si>
  <si>
    <t>Anteil der "1000 Reichsten" an M3</t>
  </si>
  <si>
    <t>Durchschnittseinkünfte in der "1000 Reichsten"  für das Diagramm  optisch angepasst (vervielfacht)</t>
  </si>
  <si>
    <t>Durchschnittseinkünfte von rund 95% der Bevölkerung für das Diagramm  optisch angepasst (vervielfacht)</t>
  </si>
  <si>
    <t>Anteil der "1000 Reichsten" an M1</t>
  </si>
  <si>
    <t>Einkommensentwicklung parallel zu M1</t>
  </si>
  <si>
    <t>Anteil der "übrigen Bevölkerung" an M1</t>
  </si>
  <si>
    <t>M1</t>
  </si>
  <si>
    <t>1975, 358</t>
  </si>
  <si>
    <t>1985, 315</t>
  </si>
  <si>
    <t>1979, 301</t>
  </si>
  <si>
    <t>1999, 332</t>
  </si>
  <si>
    <t xml:space="preserve">alles in DM </t>
  </si>
  <si>
    <t>1000 Euro</t>
  </si>
  <si>
    <t>Euro je Stpfl.</t>
  </si>
  <si>
    <t>2001, 341</t>
  </si>
  <si>
    <t>https://www-ec.destatis.de/csp/shop/sfg/bpm.html.cms.cBroker.cls?cmspath=struktur,vollanzeige.csp&amp;ID=1018140</t>
  </si>
  <si>
    <t>Deutsche Bundesbank Monatsbericht Juni 2002 S. 13*</t>
  </si>
  <si>
    <t>Vergleich 2001 zu 1974</t>
  </si>
  <si>
    <t>2001 hochgerechnet</t>
  </si>
  <si>
    <t>Die Einkommensentwicklung in Deutschland nach offiziellen Zahlen der Lohn- und Einkommensteuerstatistiken von 1961 bis 2004</t>
  </si>
  <si>
    <t>(Quelle: Statistisches Bundesamt, Finanzen und Steuern, Fachserie 14, Reihe 7.1, Einkommensteuer, 1961 - 2004)</t>
  </si>
  <si>
    <t>https://www-ec.destatis.de/csp/shop/sfg/bpm.html.cms.cBroker.cls?cmspath=struktur,vollanzeige.csp&amp;ID=1023646</t>
  </si>
  <si>
    <t xml:space="preserve">alles in Euro </t>
  </si>
  <si>
    <t>S. 1 f.</t>
  </si>
  <si>
    <t>Einkünfte in Euro</t>
  </si>
  <si>
    <t>S. 5 f.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</si>
</sst>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€_-;\-* #,##0.0\ _€_-;_-* &quot;-&quot;??\ _€_-;_-@_-"/>
    <numFmt numFmtId="173" formatCode="_-* #,##0\ _€_-;\-* #,##0\ _€_-;_-* &quot;-&quot;??\ _€_-;_-@_-"/>
    <numFmt numFmtId="174" formatCode="yyyy\-mm\-dd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0000000%"/>
    <numFmt numFmtId="182" formatCode="0.000000000%"/>
    <numFmt numFmtId="183" formatCode="#,##0_W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15">
    <font>
      <sz val="10"/>
      <name val="Arial"/>
      <family val="0"/>
    </font>
    <font>
      <sz val="8.75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5.5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3" fontId="0" fillId="0" borderId="0" xfId="16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4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73" fontId="0" fillId="0" borderId="7" xfId="0" applyNumberFormat="1" applyBorder="1" applyAlignment="1">
      <alignment/>
    </xf>
    <xf numFmtId="173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16" applyNumberFormat="1" applyBorder="1" applyAlignment="1">
      <alignment/>
    </xf>
    <xf numFmtId="17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17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173" fontId="0" fillId="0" borderId="0" xfId="16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9" xfId="0" applyFont="1" applyBorder="1" applyAlignment="1">
      <alignment/>
    </xf>
    <xf numFmtId="3" fontId="0" fillId="0" borderId="0" xfId="16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81" fontId="0" fillId="0" borderId="0" xfId="19" applyNumberFormat="1" applyBorder="1" applyAlignment="1">
      <alignment/>
    </xf>
    <xf numFmtId="3" fontId="2" fillId="0" borderId="5" xfId="0" applyNumberFormat="1" applyFont="1" applyBorder="1" applyAlignment="1">
      <alignment/>
    </xf>
    <xf numFmtId="181" fontId="0" fillId="0" borderId="5" xfId="19" applyNumberFormat="1" applyBorder="1" applyAlignment="1">
      <alignment/>
    </xf>
    <xf numFmtId="173" fontId="0" fillId="0" borderId="7" xfId="0" applyNumberFormat="1" applyFont="1" applyBorder="1" applyAlignment="1">
      <alignment/>
    </xf>
    <xf numFmtId="173" fontId="0" fillId="0" borderId="8" xfId="0" applyNumberFormat="1" applyFont="1" applyBorder="1" applyAlignment="1">
      <alignment/>
    </xf>
    <xf numFmtId="181" fontId="0" fillId="0" borderId="0" xfId="0" applyNumberFormat="1" applyAlignment="1">
      <alignment/>
    </xf>
    <xf numFmtId="9" fontId="0" fillId="0" borderId="14" xfId="19" applyBorder="1" applyAlignment="1">
      <alignment/>
    </xf>
    <xf numFmtId="0" fontId="2" fillId="0" borderId="0" xfId="0" applyFont="1" applyBorder="1" applyAlignment="1">
      <alignment horizontal="left"/>
    </xf>
    <xf numFmtId="10" fontId="0" fillId="0" borderId="0" xfId="19" applyNumberFormat="1" applyAlignment="1">
      <alignment/>
    </xf>
    <xf numFmtId="173" fontId="0" fillId="0" borderId="12" xfId="16" applyNumberFormat="1" applyBorder="1" applyAlignment="1">
      <alignment/>
    </xf>
    <xf numFmtId="173" fontId="0" fillId="0" borderId="15" xfId="16" applyNumberForma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10" fillId="0" borderId="0" xfId="18" applyAlignment="1">
      <alignment/>
    </xf>
    <xf numFmtId="3" fontId="0" fillId="0" borderId="0" xfId="0" applyNumberFormat="1" applyAlignment="1">
      <alignment/>
    </xf>
    <xf numFmtId="0" fontId="10" fillId="0" borderId="5" xfId="18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9" fontId="0" fillId="0" borderId="0" xfId="19" applyBorder="1" applyAlignment="1">
      <alignment/>
    </xf>
    <xf numFmtId="0" fontId="10" fillId="0" borderId="9" xfId="18" applyBorder="1" applyAlignment="1">
      <alignment/>
    </xf>
    <xf numFmtId="173" fontId="0" fillId="0" borderId="11" xfId="16" applyNumberFormat="1" applyBorder="1" applyAlignment="1">
      <alignment/>
    </xf>
    <xf numFmtId="0" fontId="14" fillId="0" borderId="16" xfId="0" applyFont="1" applyBorder="1" applyAlignment="1">
      <alignment/>
    </xf>
    <xf numFmtId="173" fontId="0" fillId="0" borderId="14" xfId="16" applyNumberFormat="1" applyBorder="1" applyAlignment="1">
      <alignment/>
    </xf>
    <xf numFmtId="173" fontId="0" fillId="0" borderId="0" xfId="16" applyNumberFormat="1" applyAlignment="1">
      <alignment horizontal="right"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Die Einkommensentwicklung in Deutschland nach offiziellen Zahlen 
der Lohn- und Einkommensteuerstatistiken von 1961 bis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65"/>
          <c:w val="0.77125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Tabelle1!$A$312</c:f>
              <c:strCache>
                <c:ptCount val="1"/>
                <c:pt idx="0">
                  <c:v>Die 1.000 Reichsten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Tabelle1!$G$311:$U$311</c:f>
              <c:numCache>
                <c:ptCount val="15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  <c:pt idx="13">
                  <c:v>2001</c:v>
                </c:pt>
                <c:pt idx="14">
                  <c:v>2004</c:v>
                </c:pt>
              </c:numCache>
            </c:numRef>
          </c:cat>
          <c:val>
            <c:numRef>
              <c:f>Tabelle1!$G$312:$U$312</c:f>
              <c:numCache>
                <c:ptCount val="15"/>
                <c:pt idx="0">
                  <c:v>1198020.7891278896</c:v>
                </c:pt>
                <c:pt idx="1">
                  <c:v>1151770.1777080148</c:v>
                </c:pt>
                <c:pt idx="2">
                  <c:v>1261804.4513071177</c:v>
                </c:pt>
                <c:pt idx="3">
                  <c:v>2857680.873611138</c:v>
                </c:pt>
                <c:pt idx="4">
                  <c:v>2612905.085876374</c:v>
                </c:pt>
                <c:pt idx="5">
                  <c:v>3007280.495628304</c:v>
                </c:pt>
                <c:pt idx="6">
                  <c:v>4448773.382371905</c:v>
                </c:pt>
                <c:pt idx="7">
                  <c:v>5131312.537388219</c:v>
                </c:pt>
                <c:pt idx="8">
                  <c:v>7352536.30693966</c:v>
                </c:pt>
                <c:pt idx="9">
                  <c:v>17706076.225802325</c:v>
                </c:pt>
                <c:pt idx="10">
                  <c:v>8535648.319715725</c:v>
                </c:pt>
                <c:pt idx="11">
                  <c:v>8656560.655304149</c:v>
                </c:pt>
                <c:pt idx="12">
                  <c:v>10583830.710797612</c:v>
                </c:pt>
                <c:pt idx="13">
                  <c:v>11846921.274601687</c:v>
                </c:pt>
                <c:pt idx="14">
                  <c:v>3489160.295534854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Tabelle1!$A$313</c:f>
              <c:strCache>
                <c:ptCount val="1"/>
                <c:pt idx="0">
                  <c:v>Die nächsten 10.000 Reichen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Tabelle1!$G$311:$U$311</c:f>
              <c:numCache>
                <c:ptCount val="15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  <c:pt idx="13">
                  <c:v>2001</c:v>
                </c:pt>
                <c:pt idx="14">
                  <c:v>2004</c:v>
                </c:pt>
              </c:numCache>
            </c:numRef>
          </c:cat>
          <c:val>
            <c:numRef>
              <c:f>Tabelle1!$G$313:$U$313</c:f>
              <c:numCache>
                <c:ptCount val="15"/>
                <c:pt idx="0">
                  <c:v>294667.14397784346</c:v>
                </c:pt>
                <c:pt idx="1">
                  <c:v>394456.07071502676</c:v>
                </c:pt>
                <c:pt idx="2">
                  <c:v>405214.19868132536</c:v>
                </c:pt>
                <c:pt idx="3">
                  <c:v>491734.64604840416</c:v>
                </c:pt>
                <c:pt idx="4">
                  <c:v>510151.72199637914</c:v>
                </c:pt>
                <c:pt idx="5">
                  <c:v>628753.1232191405</c:v>
                </c:pt>
                <c:pt idx="6">
                  <c:v>854012.3737714136</c:v>
                </c:pt>
                <c:pt idx="7">
                  <c:v>887066.0613100032</c:v>
                </c:pt>
                <c:pt idx="8">
                  <c:v>1099418.1033618778</c:v>
                </c:pt>
                <c:pt idx="9">
                  <c:v>1390848.6467363194</c:v>
                </c:pt>
                <c:pt idx="10">
                  <c:v>1589181.8177434765</c:v>
                </c:pt>
                <c:pt idx="11">
                  <c:v>1377629.5233275895</c:v>
                </c:pt>
                <c:pt idx="12">
                  <c:v>2633858.07079985</c:v>
                </c:pt>
                <c:pt idx="13">
                  <c:v>2019593.4563849156</c:v>
                </c:pt>
                <c:pt idx="14">
                  <c:v>1369778.9254090202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Tabelle1!$A$314</c:f>
              <c:strCache>
                <c:ptCount val="1"/>
                <c:pt idx="0">
                  <c:v>Die nächsten 100.000 Reichen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Tabelle1!$G$311:$U$311</c:f>
              <c:numCache>
                <c:ptCount val="15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  <c:pt idx="13">
                  <c:v>2001</c:v>
                </c:pt>
                <c:pt idx="14">
                  <c:v>2004</c:v>
                </c:pt>
              </c:numCache>
            </c:numRef>
          </c:cat>
          <c:val>
            <c:numRef>
              <c:f>Tabelle1!$G$314:$U$314</c:f>
              <c:numCache>
                <c:ptCount val="15"/>
                <c:pt idx="0">
                  <c:v>51724.311916240455</c:v>
                </c:pt>
                <c:pt idx="1">
                  <c:v>75214.94657434397</c:v>
                </c:pt>
                <c:pt idx="2">
                  <c:v>84425.15013028246</c:v>
                </c:pt>
                <c:pt idx="3">
                  <c:v>104663.14149944174</c:v>
                </c:pt>
                <c:pt idx="4">
                  <c:v>121753.13747202605</c:v>
                </c:pt>
                <c:pt idx="5">
                  <c:v>154120.54155646948</c:v>
                </c:pt>
                <c:pt idx="6">
                  <c:v>203598.46129928817</c:v>
                </c:pt>
                <c:pt idx="7">
                  <c:v>202426.9242294615</c:v>
                </c:pt>
                <c:pt idx="8">
                  <c:v>231460.84571392895</c:v>
                </c:pt>
                <c:pt idx="9">
                  <c:v>270714.90174814785</c:v>
                </c:pt>
                <c:pt idx="10">
                  <c:v>338879.888423002</c:v>
                </c:pt>
                <c:pt idx="11">
                  <c:v>305724.11604783655</c:v>
                </c:pt>
                <c:pt idx="12">
                  <c:v>409299.1768271004</c:v>
                </c:pt>
                <c:pt idx="13">
                  <c:v>460319.5726152438</c:v>
                </c:pt>
                <c:pt idx="14">
                  <c:v>268370.52563182125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Tabelle1!$A$315</c:f>
              <c:strCache>
                <c:ptCount val="1"/>
                <c:pt idx="0">
                  <c:v>Die nächsten 1.000.000 Reichen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Tabelle1!$G$311:$U$311</c:f>
              <c:numCache>
                <c:ptCount val="15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  <c:pt idx="13">
                  <c:v>2001</c:v>
                </c:pt>
                <c:pt idx="14">
                  <c:v>2004</c:v>
                </c:pt>
              </c:numCache>
            </c:numRef>
          </c:cat>
          <c:val>
            <c:numRef>
              <c:f>Tabelle1!$G$315:$U$315</c:f>
              <c:numCache>
                <c:ptCount val="15"/>
                <c:pt idx="0">
                  <c:v>10904.730977452422</c:v>
                </c:pt>
                <c:pt idx="1">
                  <c:v>17631.15732975621</c:v>
                </c:pt>
                <c:pt idx="2">
                  <c:v>12204.337614711087</c:v>
                </c:pt>
                <c:pt idx="3">
                  <c:v>23344.259741337362</c:v>
                </c:pt>
                <c:pt idx="4">
                  <c:v>27815.795959744675</c:v>
                </c:pt>
                <c:pt idx="5">
                  <c:v>34177.701360753585</c:v>
                </c:pt>
                <c:pt idx="6">
                  <c:v>44444.10901999294</c:v>
                </c:pt>
                <c:pt idx="7">
                  <c:v>49390.031780333076</c:v>
                </c:pt>
                <c:pt idx="8">
                  <c:v>63687.47297769511</c:v>
                </c:pt>
                <c:pt idx="9">
                  <c:v>76291.35234571062</c:v>
                </c:pt>
                <c:pt idx="10">
                  <c:v>86666.0942088148</c:v>
                </c:pt>
                <c:pt idx="11">
                  <c:v>85451.83987462084</c:v>
                </c:pt>
                <c:pt idx="12">
                  <c:v>84188.90288475469</c:v>
                </c:pt>
                <c:pt idx="13">
                  <c:v>113234.457947543</c:v>
                </c:pt>
                <c:pt idx="14">
                  <c:v>81023.07851843437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Tabelle1!$A$316</c:f>
              <c:strCache>
                <c:ptCount val="1"/>
                <c:pt idx="0">
                  <c:v>Die übrige Bevölkerung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Tabelle1!$G$311:$U$311</c:f>
              <c:numCache>
                <c:ptCount val="15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  <c:pt idx="13">
                  <c:v>2001</c:v>
                </c:pt>
                <c:pt idx="14">
                  <c:v>2004</c:v>
                </c:pt>
              </c:numCache>
            </c:numRef>
          </c:cat>
          <c:val>
            <c:numRef>
              <c:f>Tabelle1!$G$316:$U$316</c:f>
              <c:numCache>
                <c:ptCount val="15"/>
                <c:pt idx="0">
                  <c:v>3006.4399239134864</c:v>
                </c:pt>
                <c:pt idx="1">
                  <c:v>3865.967616432898</c:v>
                </c:pt>
                <c:pt idx="2">
                  <c:v>5359.917521501498</c:v>
                </c:pt>
                <c:pt idx="3">
                  <c:v>7705.721434033025</c:v>
                </c:pt>
                <c:pt idx="4">
                  <c:v>10502.321533850589</c:v>
                </c:pt>
                <c:pt idx="5">
                  <c:v>12301.981408039217</c:v>
                </c:pt>
                <c:pt idx="6">
                  <c:v>14291.257854709434</c:v>
                </c:pt>
                <c:pt idx="7">
                  <c:v>15169.986849952635</c:v>
                </c:pt>
                <c:pt idx="8">
                  <c:v>17127.64255176249</c:v>
                </c:pt>
                <c:pt idx="9">
                  <c:v>19478.199898124054</c:v>
                </c:pt>
                <c:pt idx="10">
                  <c:v>22652.886552129436</c:v>
                </c:pt>
                <c:pt idx="11">
                  <c:v>24357.167387018897</c:v>
                </c:pt>
                <c:pt idx="12">
                  <c:v>21111.986925644538</c:v>
                </c:pt>
                <c:pt idx="13">
                  <c:v>30080.571397760865</c:v>
                </c:pt>
                <c:pt idx="14">
                  <c:v>19619.044968092636</c:v>
                </c:pt>
              </c:numCache>
            </c:numRef>
          </c:val>
          <c:smooth val="0"/>
        </c:ser>
        <c:marker val="1"/>
        <c:axId val="52175505"/>
        <c:axId val="21943782"/>
      </c:lineChart>
      <c:catAx>
        <c:axId val="52175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43782"/>
        <c:crosses val="autoZero"/>
        <c:auto val="1"/>
        <c:lblOffset val="100"/>
        <c:noMultiLvlLbl val="0"/>
      </c:catAx>
      <c:valAx>
        <c:axId val="21943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75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343"/>
          <c:w val="0.1895"/>
          <c:h val="0.42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Die Einkommensentwicklung in Deutschland nach offiziellen Zahlen der Lohn- und 
Einkommensteuerstatistiken im Vergleich mit der Geldmenge M1 von 1961 bis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975"/>
          <c:w val="0.9785"/>
          <c:h val="0.79675"/>
        </c:manualLayout>
      </c:layout>
      <c:lineChart>
        <c:grouping val="standard"/>
        <c:varyColors val="0"/>
        <c:ser>
          <c:idx val="1"/>
          <c:order val="0"/>
          <c:tx>
            <c:strRef>
              <c:f>Tabelle1!$A$338</c:f>
              <c:strCache>
                <c:ptCount val="1"/>
                <c:pt idx="0">
                  <c:v>M1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Tabelle1!$E$337:$R$337</c:f>
              <c:numCache>
                <c:ptCount val="14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  <c:pt idx="13">
                  <c:v>2001</c:v>
                </c:pt>
              </c:numCache>
            </c:numRef>
          </c:cat>
          <c:val>
            <c:numRef>
              <c:f>Tabelle1!$E$338:$R$338</c:f>
              <c:numCache>
                <c:ptCount val="14"/>
                <c:pt idx="0">
                  <c:v>#N/A</c:v>
                </c:pt>
                <c:pt idx="1">
                  <c:v>#N/A</c:v>
                </c:pt>
                <c:pt idx="2">
                  <c:v>93466000000</c:v>
                </c:pt>
                <c:pt idx="3">
                  <c:v>121522000000</c:v>
                </c:pt>
                <c:pt idx="4">
                  <c:v>158432000000</c:v>
                </c:pt>
                <c:pt idx="5">
                  <c:v>208076000000</c:v>
                </c:pt>
                <c:pt idx="6">
                  <c:v>257335000000</c:v>
                </c:pt>
                <c:pt idx="7">
                  <c:v>295795000000</c:v>
                </c:pt>
                <c:pt idx="8">
                  <c:v>358747000000</c:v>
                </c:pt>
                <c:pt idx="9">
                  <c:v>450623000000</c:v>
                </c:pt>
                <c:pt idx="10">
                  <c:v>669575000000</c:v>
                </c:pt>
                <c:pt idx="11">
                  <c:v>816094000000</c:v>
                </c:pt>
                <c:pt idx="12">
                  <c:v>1042090000000</c:v>
                </c:pt>
                <c:pt idx="13">
                  <c:v>1176700000000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Tabelle1!$A$340</c:f>
              <c:strCache>
                <c:ptCount val="1"/>
                <c:pt idx="0">
                  <c:v>Durchschnittseinkünfte von rund 95% der Bevölkerung für das Diagramm  optisch angepasst (vervielfacht)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Tabelle1!$E$337:$R$337</c:f>
              <c:numCache>
                <c:ptCount val="14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  <c:pt idx="13">
                  <c:v>2001</c:v>
                </c:pt>
              </c:numCache>
            </c:numRef>
          </c:cat>
          <c:val>
            <c:numRef>
              <c:f>Tabelle1!$E$341:$R$341</c:f>
              <c:numCache>
                <c:ptCount val="14"/>
                <c:pt idx="2">
                  <c:v>5359917521.501498</c:v>
                </c:pt>
                <c:pt idx="3">
                  <c:v>7705721434.033025</c:v>
                </c:pt>
                <c:pt idx="4">
                  <c:v>10502321533.85059</c:v>
                </c:pt>
                <c:pt idx="5">
                  <c:v>12301981408.039217</c:v>
                </c:pt>
                <c:pt idx="6">
                  <c:v>14291257854.709435</c:v>
                </c:pt>
                <c:pt idx="7">
                  <c:v>15169986849.952635</c:v>
                </c:pt>
                <c:pt idx="8">
                  <c:v>17127642551.76249</c:v>
                </c:pt>
                <c:pt idx="9">
                  <c:v>19478199898.124054</c:v>
                </c:pt>
                <c:pt idx="10">
                  <c:v>22652886552.129436</c:v>
                </c:pt>
                <c:pt idx="11">
                  <c:v>24357167387.018898</c:v>
                </c:pt>
                <c:pt idx="12">
                  <c:v>21111986925.64454</c:v>
                </c:pt>
                <c:pt idx="13">
                  <c:v>30080571397.760864</c:v>
                </c:pt>
              </c:numCache>
            </c:numRef>
          </c:val>
          <c:smooth val="0"/>
        </c:ser>
        <c:marker val="1"/>
        <c:axId val="58166239"/>
        <c:axId val="13531468"/>
      </c:lineChart>
      <c:lineChart>
        <c:grouping val="standard"/>
        <c:varyColors val="0"/>
        <c:ser>
          <c:idx val="2"/>
          <c:order val="2"/>
          <c:tx>
            <c:strRef>
              <c:f>Tabelle1!$A$342</c:f>
              <c:strCache>
                <c:ptCount val="1"/>
                <c:pt idx="0">
                  <c:v>Anteil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Tabelle1!$E$342:$R$342</c:f>
              <c:numCache>
                <c:ptCount val="14"/>
                <c:pt idx="2">
                  <c:v>5.7346174239846556E-08</c:v>
                </c:pt>
                <c:pt idx="3">
                  <c:v>6.341009392565153E-08</c:v>
                </c:pt>
                <c:pt idx="4">
                  <c:v>6.628914318982648E-08</c:v>
                </c:pt>
                <c:pt idx="5">
                  <c:v>5.912253891866057E-08</c:v>
                </c:pt>
                <c:pt idx="6">
                  <c:v>5.553561643270225E-08</c:v>
                </c:pt>
                <c:pt idx="7">
                  <c:v>5.128547423030354E-08</c:v>
                </c:pt>
                <c:pt idx="8">
                  <c:v>4.77429568798136E-08</c:v>
                </c:pt>
                <c:pt idx="9">
                  <c:v>4.3225045987719345E-08</c:v>
                </c:pt>
                <c:pt idx="10">
                  <c:v>3.383173886738519E-08</c:v>
                </c:pt>
                <c:pt idx="11">
                  <c:v>2.9846031691225394E-08</c:v>
                </c:pt>
                <c:pt idx="12">
                  <c:v>2.0259274079632794E-08</c:v>
                </c:pt>
                <c:pt idx="13">
                  <c:v>2.5563500805439675E-08</c:v>
                </c:pt>
              </c:numCache>
            </c:numRef>
          </c:val>
          <c:smooth val="0"/>
        </c:ser>
        <c:marker val="1"/>
        <c:axId val="15725373"/>
        <c:axId val="61797378"/>
      </c:lineChart>
      <c:catAx>
        <c:axId val="58166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531468"/>
        <c:crosses val="autoZero"/>
        <c:auto val="0"/>
        <c:lblOffset val="100"/>
        <c:noMultiLvlLbl val="0"/>
      </c:catAx>
      <c:valAx>
        <c:axId val="13531468"/>
        <c:scaling>
          <c:orientation val="minMax"/>
        </c:scaling>
        <c:axPos val="l"/>
        <c:majorGridlines/>
        <c:minorGridlines/>
        <c:delete val="0"/>
        <c:numFmt formatCode="#,##0" sourceLinked="0"/>
        <c:majorTickMark val="in"/>
        <c:minorTickMark val="none"/>
        <c:tickLblPos val="nextTo"/>
        <c:crossAx val="58166239"/>
        <c:crossesAt val="1"/>
        <c:crossBetween val="between"/>
        <c:dispUnits/>
        <c:minorUnit val="100000000000"/>
      </c:valAx>
      <c:catAx>
        <c:axId val="15725373"/>
        <c:scaling>
          <c:orientation val="minMax"/>
        </c:scaling>
        <c:axPos val="b"/>
        <c:delete val="1"/>
        <c:majorTickMark val="in"/>
        <c:minorTickMark val="none"/>
        <c:tickLblPos val="nextTo"/>
        <c:crossAx val="61797378"/>
        <c:crosses val="autoZero"/>
        <c:auto val="0"/>
        <c:lblOffset val="100"/>
        <c:noMultiLvlLbl val="0"/>
      </c:catAx>
      <c:valAx>
        <c:axId val="61797378"/>
        <c:scaling>
          <c:orientation val="minMax"/>
        </c:scaling>
        <c:axPos val="l"/>
        <c:delete val="0"/>
        <c:numFmt formatCode="0.00000000%" sourceLinked="0"/>
        <c:majorTickMark val="in"/>
        <c:minorTickMark val="none"/>
        <c:tickLblPos val="nextTo"/>
        <c:crossAx val="157253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75"/>
          <c:y val="0.93325"/>
          <c:w val="0.8825"/>
          <c:h val="0.05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Die Einkommensentwicklung in Deutschland nach offiziellen Zahlen der Lohn- und 
Einkommensteuerstatistiken im Vergleich mit der Geldmenge M1 von 1961 bis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975"/>
          <c:w val="0.9785"/>
          <c:h val="0.795"/>
        </c:manualLayout>
      </c:layout>
      <c:lineChart>
        <c:grouping val="standard"/>
        <c:varyColors val="0"/>
        <c:ser>
          <c:idx val="1"/>
          <c:order val="0"/>
          <c:tx>
            <c:strRef>
              <c:f>Tabelle1!$A$329</c:f>
              <c:strCache>
                <c:ptCount val="1"/>
                <c:pt idx="0">
                  <c:v>M1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Tabelle1!$E$328:$R$328</c:f>
              <c:numCache>
                <c:ptCount val="14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  <c:pt idx="13">
                  <c:v>2001</c:v>
                </c:pt>
              </c:numCache>
            </c:numRef>
          </c:cat>
          <c:val>
            <c:numRef>
              <c:f>Tabelle1!$E$329:$R$329</c:f>
              <c:numCache>
                <c:ptCount val="14"/>
                <c:pt idx="0">
                  <c:v>#N/A</c:v>
                </c:pt>
                <c:pt idx="1">
                  <c:v>#N/A</c:v>
                </c:pt>
                <c:pt idx="2">
                  <c:v>93466000000</c:v>
                </c:pt>
                <c:pt idx="3">
                  <c:v>121522000000</c:v>
                </c:pt>
                <c:pt idx="4">
                  <c:v>158432000000</c:v>
                </c:pt>
                <c:pt idx="5">
                  <c:v>208076000000</c:v>
                </c:pt>
                <c:pt idx="6">
                  <c:v>257335000000</c:v>
                </c:pt>
                <c:pt idx="7">
                  <c:v>295795000000</c:v>
                </c:pt>
                <c:pt idx="8">
                  <c:v>358747000000</c:v>
                </c:pt>
                <c:pt idx="9">
                  <c:v>450623000000</c:v>
                </c:pt>
                <c:pt idx="10">
                  <c:v>669575000000</c:v>
                </c:pt>
                <c:pt idx="11">
                  <c:v>816094000000</c:v>
                </c:pt>
                <c:pt idx="12">
                  <c:v>1042090000000</c:v>
                </c:pt>
                <c:pt idx="13">
                  <c:v>1176700000000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Tabelle1!$A$331</c:f>
              <c:strCache>
                <c:ptCount val="1"/>
                <c:pt idx="0">
                  <c:v>Durchschnittseinkünfte in der "1000 Reichsten"  für das Diagramm  optisch angepasst (vervielfacht)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Tabelle1!$E$328:$R$328</c:f>
              <c:numCache>
                <c:ptCount val="14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  <c:pt idx="13">
                  <c:v>2001</c:v>
                </c:pt>
              </c:numCache>
            </c:numRef>
          </c:cat>
          <c:val>
            <c:numRef>
              <c:f>Tabelle1!$E$332:$R$332</c:f>
              <c:numCache>
                <c:ptCount val="14"/>
                <c:pt idx="2">
                  <c:v>12618044513.071177</c:v>
                </c:pt>
                <c:pt idx="3">
                  <c:v>28576808736.11138</c:v>
                </c:pt>
                <c:pt idx="4">
                  <c:v>26129050858.76374</c:v>
                </c:pt>
                <c:pt idx="5">
                  <c:v>30072804956.28304</c:v>
                </c:pt>
                <c:pt idx="6">
                  <c:v>44487733823.719055</c:v>
                </c:pt>
                <c:pt idx="7">
                  <c:v>51313125373.88219</c:v>
                </c:pt>
                <c:pt idx="8">
                  <c:v>73525363069.39659</c:v>
                </c:pt>
                <c:pt idx="9">
                  <c:v>177060762258.02325</c:v>
                </c:pt>
                <c:pt idx="10">
                  <c:v>85356483197.15726</c:v>
                </c:pt>
                <c:pt idx="11">
                  <c:v>86565606553.04149</c:v>
                </c:pt>
                <c:pt idx="12">
                  <c:v>105838307107.97612</c:v>
                </c:pt>
                <c:pt idx="13">
                  <c:v>118469212746.01686</c:v>
                </c:pt>
              </c:numCache>
            </c:numRef>
          </c:val>
          <c:smooth val="0"/>
        </c:ser>
        <c:marker val="1"/>
        <c:axId val="22676523"/>
        <c:axId val="6444936"/>
      </c:lineChart>
      <c:lineChart>
        <c:grouping val="standard"/>
        <c:varyColors val="0"/>
        <c:ser>
          <c:idx val="2"/>
          <c:order val="2"/>
          <c:tx>
            <c:strRef>
              <c:f>Tabelle1!$A$333</c:f>
              <c:strCache>
                <c:ptCount val="1"/>
                <c:pt idx="0">
                  <c:v>Anteil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Tabelle1!$E$333:$R$333</c:f>
              <c:numCache>
                <c:ptCount val="14"/>
                <c:pt idx="2">
                  <c:v>1.350014391658055E-05</c:v>
                </c:pt>
                <c:pt idx="3">
                  <c:v>2.3515749194476213E-05</c:v>
                </c:pt>
                <c:pt idx="4">
                  <c:v>1.6492281141918137E-05</c:v>
                </c:pt>
                <c:pt idx="5">
                  <c:v>1.4452798475693035E-05</c:v>
                </c:pt>
                <c:pt idx="6">
                  <c:v>1.728786749712206E-05</c:v>
                </c:pt>
                <c:pt idx="7">
                  <c:v>1.734752966543795E-05</c:v>
                </c:pt>
                <c:pt idx="8">
                  <c:v>2.0495046110321923E-05</c:v>
                </c:pt>
                <c:pt idx="9">
                  <c:v>3.9292437860034494E-05</c:v>
                </c:pt>
                <c:pt idx="10">
                  <c:v>1.2747859940582796E-05</c:v>
                </c:pt>
                <c:pt idx="11">
                  <c:v>1.0607308294515275E-05</c:v>
                </c:pt>
                <c:pt idx="12">
                  <c:v>1.015634994174938E-05</c:v>
                </c:pt>
                <c:pt idx="13">
                  <c:v>1.006791983904282E-05</c:v>
                </c:pt>
              </c:numCache>
            </c:numRef>
          </c:val>
          <c:smooth val="0"/>
        </c:ser>
        <c:marker val="1"/>
        <c:axId val="1125929"/>
        <c:axId val="23644510"/>
      </c:lineChart>
      <c:catAx>
        <c:axId val="22676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44936"/>
        <c:crosses val="autoZero"/>
        <c:auto val="0"/>
        <c:lblOffset val="100"/>
        <c:noMultiLvlLbl val="0"/>
      </c:catAx>
      <c:valAx>
        <c:axId val="6444936"/>
        <c:scaling>
          <c:orientation val="minMax"/>
        </c:scaling>
        <c:axPos val="l"/>
        <c:majorGridlines/>
        <c:minorGridlines/>
        <c:delete val="0"/>
        <c:numFmt formatCode="#,##0" sourceLinked="0"/>
        <c:majorTickMark val="in"/>
        <c:minorTickMark val="none"/>
        <c:tickLblPos val="nextTo"/>
        <c:crossAx val="22676523"/>
        <c:crossesAt val="1"/>
        <c:crossBetween val="between"/>
        <c:dispUnits/>
        <c:minorUnit val="100000000000"/>
      </c:valAx>
      <c:catAx>
        <c:axId val="1125929"/>
        <c:scaling>
          <c:orientation val="minMax"/>
        </c:scaling>
        <c:axPos val="b"/>
        <c:delete val="1"/>
        <c:majorTickMark val="in"/>
        <c:minorTickMark val="none"/>
        <c:tickLblPos val="nextTo"/>
        <c:crossAx val="23644510"/>
        <c:crosses val="autoZero"/>
        <c:auto val="0"/>
        <c:lblOffset val="100"/>
        <c:noMultiLvlLbl val="0"/>
      </c:catAx>
      <c:valAx>
        <c:axId val="23644510"/>
        <c:scaling>
          <c:orientation val="minMax"/>
        </c:scaling>
        <c:axPos val="l"/>
        <c:delete val="0"/>
        <c:numFmt formatCode="0.00000000%" sourceLinked="0"/>
        <c:majorTickMark val="in"/>
        <c:minorTickMark val="none"/>
        <c:tickLblPos val="nextTo"/>
        <c:crossAx val="11259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25"/>
          <c:y val="0.93325"/>
          <c:w val="0.8825"/>
          <c:h val="0.05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Die Einkommensentwicklung in Deutschland nach offiziellen Zahlen der Lohn- und 
Einkommensteuerstatistiken im Vergleich mit der Geldmenge M3 von 1961 bis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975"/>
          <c:w val="0.9785"/>
          <c:h val="0.795"/>
        </c:manualLayout>
      </c:layout>
      <c:lineChart>
        <c:grouping val="standard"/>
        <c:varyColors val="0"/>
        <c:ser>
          <c:idx val="1"/>
          <c:order val="0"/>
          <c:tx>
            <c:strRef>
              <c:f>Tabelle1!$A$356</c:f>
              <c:strCache>
                <c:ptCount val="1"/>
                <c:pt idx="0">
                  <c:v>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Tabelle1!$E$355:$R$355</c:f>
              <c:numCache>
                <c:ptCount val="14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  <c:pt idx="13">
                  <c:v>2001</c:v>
                </c:pt>
              </c:numCache>
            </c:numRef>
          </c:cat>
          <c:val>
            <c:numRef>
              <c:f>Tabelle1!$E$356:$R$356</c:f>
              <c:numCach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452205000000</c:v>
                </c:pt>
                <c:pt idx="5">
                  <c:v>591473000000</c:v>
                </c:pt>
                <c:pt idx="6">
                  <c:v>739431000000</c:v>
                </c:pt>
                <c:pt idx="7">
                  <c:v>874843000000</c:v>
                </c:pt>
                <c:pt idx="8">
                  <c:v>1050687000000</c:v>
                </c:pt>
                <c:pt idx="9">
                  <c:v>1255458000000</c:v>
                </c:pt>
                <c:pt idx="10">
                  <c:v>1718696000000</c:v>
                </c:pt>
                <c:pt idx="11">
                  <c:v>2007441000000</c:v>
                </c:pt>
                <c:pt idx="12">
                  <c:v>2568050000000</c:v>
                </c:pt>
                <c:pt idx="13">
                  <c:v>2870200000000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Tabelle1!$A$358</c:f>
              <c:strCache>
                <c:ptCount val="1"/>
                <c:pt idx="0">
                  <c:v>Durchschnittseinkünfte von rund 95% der Bevölkerung für das Diagramm  optisch angepasst (vervielfacht)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Tabelle1!$E$355:$R$355</c:f>
              <c:numCache>
                <c:ptCount val="14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  <c:pt idx="13">
                  <c:v>2001</c:v>
                </c:pt>
              </c:numCache>
            </c:numRef>
          </c:cat>
          <c:val>
            <c:numRef>
              <c:f>Tabelle1!$E$359:$R$359</c:f>
              <c:numCache>
                <c:ptCount val="14"/>
                <c:pt idx="4">
                  <c:v>10502321533.85059</c:v>
                </c:pt>
                <c:pt idx="5">
                  <c:v>12301981408.039217</c:v>
                </c:pt>
                <c:pt idx="6">
                  <c:v>14291257854.709435</c:v>
                </c:pt>
                <c:pt idx="7">
                  <c:v>15169986849.952635</c:v>
                </c:pt>
                <c:pt idx="8">
                  <c:v>17127642551.76249</c:v>
                </c:pt>
                <c:pt idx="9">
                  <c:v>19478199898.124054</c:v>
                </c:pt>
                <c:pt idx="10">
                  <c:v>22652886552.129436</c:v>
                </c:pt>
                <c:pt idx="11">
                  <c:v>24357167387.018898</c:v>
                </c:pt>
                <c:pt idx="12">
                  <c:v>21111986925.64454</c:v>
                </c:pt>
                <c:pt idx="13">
                  <c:v>30080571397.760864</c:v>
                </c:pt>
              </c:numCache>
            </c:numRef>
          </c:val>
          <c:smooth val="0"/>
        </c:ser>
        <c:marker val="1"/>
        <c:axId val="26772663"/>
        <c:axId val="25355012"/>
      </c:lineChart>
      <c:lineChart>
        <c:grouping val="standard"/>
        <c:varyColors val="0"/>
        <c:ser>
          <c:idx val="2"/>
          <c:order val="2"/>
          <c:tx>
            <c:strRef>
              <c:f>Tabelle1!$A$360</c:f>
              <c:strCache>
                <c:ptCount val="1"/>
                <c:pt idx="0">
                  <c:v>Anteil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Tabelle1!$E$360:$R$360</c:f>
              <c:numCache>
                <c:ptCount val="14"/>
                <c:pt idx="4">
                  <c:v>2.3224691310026624E-08</c:v>
                </c:pt>
                <c:pt idx="5">
                  <c:v>2.0798889227469753E-08</c:v>
                </c:pt>
                <c:pt idx="6">
                  <c:v>1.9327371796299364E-08</c:v>
                </c:pt>
                <c:pt idx="7">
                  <c:v>1.7340239162858517E-08</c:v>
                </c:pt>
                <c:pt idx="8">
                  <c:v>1.6301374768853604E-08</c:v>
                </c:pt>
                <c:pt idx="9">
                  <c:v>1.5514816025804172E-08</c:v>
                </c:pt>
                <c:pt idx="10">
                  <c:v>1.3180275366981383E-08</c:v>
                </c:pt>
                <c:pt idx="11">
                  <c:v>1.2133441225430235E-08</c:v>
                </c:pt>
                <c:pt idx="12">
                  <c:v>8.221018642800777E-09</c:v>
                </c:pt>
                <c:pt idx="13">
                  <c:v>1.0480304995387383E-08</c:v>
                </c:pt>
              </c:numCache>
            </c:numRef>
          </c:val>
          <c:smooth val="0"/>
        </c:ser>
        <c:marker val="1"/>
        <c:axId val="62693205"/>
        <c:axId val="41488890"/>
      </c:lineChart>
      <c:catAx>
        <c:axId val="26772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355012"/>
        <c:crosses val="autoZero"/>
        <c:auto val="0"/>
        <c:lblOffset val="100"/>
        <c:noMultiLvlLbl val="0"/>
      </c:catAx>
      <c:valAx>
        <c:axId val="25355012"/>
        <c:scaling>
          <c:orientation val="minMax"/>
        </c:scaling>
        <c:axPos val="l"/>
        <c:majorGridlines/>
        <c:minorGridlines/>
        <c:delete val="0"/>
        <c:numFmt formatCode="#,##0" sourceLinked="0"/>
        <c:majorTickMark val="in"/>
        <c:minorTickMark val="none"/>
        <c:tickLblPos val="nextTo"/>
        <c:crossAx val="26772663"/>
        <c:crossesAt val="1"/>
        <c:crossBetween val="between"/>
        <c:dispUnits/>
        <c:minorUnit val="250000000000"/>
      </c:valAx>
      <c:catAx>
        <c:axId val="62693205"/>
        <c:scaling>
          <c:orientation val="minMax"/>
        </c:scaling>
        <c:axPos val="b"/>
        <c:delete val="1"/>
        <c:majorTickMark val="in"/>
        <c:minorTickMark val="none"/>
        <c:tickLblPos val="nextTo"/>
        <c:crossAx val="41488890"/>
        <c:crosses val="autoZero"/>
        <c:auto val="0"/>
        <c:lblOffset val="100"/>
        <c:noMultiLvlLbl val="0"/>
      </c:catAx>
      <c:valAx>
        <c:axId val="41488890"/>
        <c:scaling>
          <c:orientation val="minMax"/>
        </c:scaling>
        <c:axPos val="l"/>
        <c:delete val="0"/>
        <c:numFmt formatCode="0.00000000%" sourceLinked="0"/>
        <c:majorTickMark val="in"/>
        <c:minorTickMark val="none"/>
        <c:tickLblPos val="nextTo"/>
        <c:crossAx val="626932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75"/>
          <c:y val="0.93325"/>
          <c:w val="0.8825"/>
          <c:h val="0.05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Die Einkommensentwicklung in Deutschland nach offiziellen Zahlen der Lohn- und 
Einkommensteuerstatistiken im Vergleich mit der Geldmenge M3 von 1961 bis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05"/>
          <c:w val="0.9785"/>
          <c:h val="0.79425"/>
        </c:manualLayout>
      </c:layout>
      <c:lineChart>
        <c:grouping val="standard"/>
        <c:varyColors val="0"/>
        <c:ser>
          <c:idx val="1"/>
          <c:order val="0"/>
          <c:tx>
            <c:strRef>
              <c:f>Tabelle1!$A$347</c:f>
              <c:strCache>
                <c:ptCount val="1"/>
                <c:pt idx="0">
                  <c:v>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Tabelle1!$E$346:$R$346</c:f>
              <c:numCache>
                <c:ptCount val="14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  <c:pt idx="13">
                  <c:v>2001</c:v>
                </c:pt>
              </c:numCache>
            </c:numRef>
          </c:cat>
          <c:val>
            <c:numRef>
              <c:f>Tabelle1!$E$347:$R$347</c:f>
              <c:numCach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452205000000</c:v>
                </c:pt>
                <c:pt idx="5">
                  <c:v>591473000000</c:v>
                </c:pt>
                <c:pt idx="6">
                  <c:v>739431000000</c:v>
                </c:pt>
                <c:pt idx="7">
                  <c:v>874843000000</c:v>
                </c:pt>
                <c:pt idx="8">
                  <c:v>1050687000000</c:v>
                </c:pt>
                <c:pt idx="9">
                  <c:v>1255458000000</c:v>
                </c:pt>
                <c:pt idx="10">
                  <c:v>1718696000000</c:v>
                </c:pt>
                <c:pt idx="11">
                  <c:v>2007441000000</c:v>
                </c:pt>
                <c:pt idx="12">
                  <c:v>2568050000000</c:v>
                </c:pt>
                <c:pt idx="13">
                  <c:v>2870200000000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Tabelle1!$A$349</c:f>
              <c:strCache>
                <c:ptCount val="1"/>
                <c:pt idx="0">
                  <c:v>Durchschnittseinkünfte in der "1000 Reichsten"  für das Diagramm  optisch angepasst (vervielfacht)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Tabelle1!$E$346:$R$346</c:f>
              <c:numCache>
                <c:ptCount val="14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  <c:pt idx="13">
                  <c:v>2001</c:v>
                </c:pt>
              </c:numCache>
            </c:numRef>
          </c:cat>
          <c:val>
            <c:numRef>
              <c:f>Tabelle1!$E$350:$R$350</c:f>
              <c:numCache>
                <c:ptCount val="14"/>
                <c:pt idx="4">
                  <c:v>26129050858.76374</c:v>
                </c:pt>
                <c:pt idx="5">
                  <c:v>30072804956.28304</c:v>
                </c:pt>
                <c:pt idx="6">
                  <c:v>44487733823.719055</c:v>
                </c:pt>
                <c:pt idx="7">
                  <c:v>51313125373.88219</c:v>
                </c:pt>
                <c:pt idx="8">
                  <c:v>73525363069.39659</c:v>
                </c:pt>
                <c:pt idx="9">
                  <c:v>177060762258.02325</c:v>
                </c:pt>
                <c:pt idx="10">
                  <c:v>85356483197.15726</c:v>
                </c:pt>
                <c:pt idx="11">
                  <c:v>86565606553.04149</c:v>
                </c:pt>
                <c:pt idx="12">
                  <c:v>105838307107.97612</c:v>
                </c:pt>
                <c:pt idx="13">
                  <c:v>118469212746.01686</c:v>
                </c:pt>
              </c:numCache>
            </c:numRef>
          </c:val>
          <c:smooth val="0"/>
        </c:ser>
        <c:marker val="1"/>
        <c:axId val="65960323"/>
        <c:axId val="42989504"/>
      </c:lineChart>
      <c:lineChart>
        <c:grouping val="standard"/>
        <c:varyColors val="0"/>
        <c:ser>
          <c:idx val="2"/>
          <c:order val="2"/>
          <c:tx>
            <c:strRef>
              <c:f>Tabelle1!$A$351</c:f>
              <c:strCache>
                <c:ptCount val="1"/>
                <c:pt idx="0">
                  <c:v>Anteil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Tabelle1!$E$351:$R$351</c:f>
              <c:numCache>
                <c:ptCount val="14"/>
                <c:pt idx="4">
                  <c:v>5.778142846444365E-06</c:v>
                </c:pt>
                <c:pt idx="5">
                  <c:v>5.084391841433681E-06</c:v>
                </c:pt>
                <c:pt idx="6">
                  <c:v>6.016482109043177E-06</c:v>
                </c:pt>
                <c:pt idx="7">
                  <c:v>5.8654096076532805E-06</c:v>
                </c:pt>
                <c:pt idx="8">
                  <c:v>6.997836945674268E-06</c:v>
                </c:pt>
                <c:pt idx="9">
                  <c:v>1.4103280417028945E-05</c:v>
                </c:pt>
                <c:pt idx="10">
                  <c:v>4.966351419748301E-06</c:v>
                </c:pt>
                <c:pt idx="11">
                  <c:v>4.312236651191317E-06</c:v>
                </c:pt>
                <c:pt idx="12">
                  <c:v>4.121349160178973E-06</c:v>
                </c:pt>
                <c:pt idx="13">
                  <c:v>4.12755949919925E-06</c:v>
                </c:pt>
              </c:numCache>
            </c:numRef>
          </c:val>
          <c:smooth val="0"/>
        </c:ser>
        <c:marker val="1"/>
        <c:axId val="30364353"/>
        <c:axId val="33671638"/>
      </c:lineChart>
      <c:catAx>
        <c:axId val="65960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989504"/>
        <c:crosses val="autoZero"/>
        <c:auto val="0"/>
        <c:lblOffset val="100"/>
        <c:noMultiLvlLbl val="0"/>
      </c:catAx>
      <c:valAx>
        <c:axId val="42989504"/>
        <c:scaling>
          <c:orientation val="minMax"/>
        </c:scaling>
        <c:axPos val="l"/>
        <c:majorGridlines/>
        <c:minorGridlines/>
        <c:delete val="0"/>
        <c:numFmt formatCode="#,##0" sourceLinked="0"/>
        <c:majorTickMark val="in"/>
        <c:minorTickMark val="none"/>
        <c:tickLblPos val="nextTo"/>
        <c:crossAx val="65960323"/>
        <c:crossesAt val="1"/>
        <c:crossBetween val="between"/>
        <c:dispUnits/>
        <c:minorUnit val="250000000000"/>
      </c:valAx>
      <c:catAx>
        <c:axId val="30364353"/>
        <c:scaling>
          <c:orientation val="minMax"/>
        </c:scaling>
        <c:axPos val="b"/>
        <c:delete val="1"/>
        <c:majorTickMark val="in"/>
        <c:minorTickMark val="none"/>
        <c:tickLblPos val="nextTo"/>
        <c:crossAx val="33671638"/>
        <c:crosses val="autoZero"/>
        <c:auto val="0"/>
        <c:lblOffset val="100"/>
        <c:noMultiLvlLbl val="0"/>
      </c:catAx>
      <c:valAx>
        <c:axId val="33671638"/>
        <c:scaling>
          <c:orientation val="minMax"/>
        </c:scaling>
        <c:axPos val="l"/>
        <c:delete val="0"/>
        <c:numFmt formatCode="0.00000000%" sourceLinked="0"/>
        <c:majorTickMark val="in"/>
        <c:minorTickMark val="none"/>
        <c:tickLblPos val="nextTo"/>
        <c:crossAx val="303643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25"/>
          <c:y val="0.93325"/>
          <c:w val="0.8825"/>
          <c:h val="0.05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" right="0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0.6155</cdr:x>
      <cdr:y>0.085</cdr:y>
    </cdr:from>
    <cdr:to>
      <cdr:x>0.7555</cdr:x>
      <cdr:y>0.564</cdr:y>
    </cdr:to>
    <cdr:sp>
      <cdr:nvSpPr>
        <cdr:cNvPr id="1" name="Line 4"/>
        <cdr:cNvSpPr>
          <a:spLocks/>
        </cdr:cNvSpPr>
      </cdr:nvSpPr>
      <cdr:spPr>
        <a:xfrm flipH="1">
          <a:off x="4171950" y="447675"/>
          <a:ext cx="95250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0.00375</cdr:y>
    </cdr:from>
    <cdr:to>
      <cdr:x>0.99875</cdr:x>
      <cdr:y>0.10175</cdr:y>
    </cdr:to>
    <cdr:sp>
      <cdr:nvSpPr>
        <cdr:cNvPr id="2" name="TextBox 2"/>
        <cdr:cNvSpPr txBox="1">
          <a:spLocks noChangeArrowheads="1"/>
        </cdr:cNvSpPr>
      </cdr:nvSpPr>
      <cdr:spPr>
        <a:xfrm>
          <a:off x="5219700" y="19050"/>
          <a:ext cx="15430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Neue Abschreibungs- 
möglichkeiten  durch die neuen Bundesländer</a:t>
          </a:r>
        </a:p>
      </cdr:txBody>
    </cdr:sp>
  </cdr:relSizeAnchor>
  <cdr:relSizeAnchor xmlns:cdr="http://schemas.openxmlformats.org/drawingml/2006/chartDrawing">
    <cdr:from>
      <cdr:x>0.655</cdr:x>
      <cdr:y>0.085</cdr:y>
    </cdr:from>
    <cdr:to>
      <cdr:x>0.7555</cdr:x>
      <cdr:y>0.56325</cdr:y>
    </cdr:to>
    <cdr:sp>
      <cdr:nvSpPr>
        <cdr:cNvPr id="3" name="Line 5"/>
        <cdr:cNvSpPr>
          <a:spLocks/>
        </cdr:cNvSpPr>
      </cdr:nvSpPr>
      <cdr:spPr>
        <a:xfrm flipH="1">
          <a:off x="4438650" y="447675"/>
          <a:ext cx="68580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0.07075</cdr:x>
      <cdr:y>0.04875</cdr:y>
    </cdr:from>
    <cdr:to>
      <cdr:x>0.1905</cdr:x>
      <cdr:y>0.08325</cdr:y>
    </cdr:to>
    <cdr:sp>
      <cdr:nvSpPr>
        <cdr:cNvPr id="4" name="TextBox 7"/>
        <cdr:cNvSpPr txBox="1">
          <a:spLocks noChangeArrowheads="1"/>
        </cdr:cNvSpPr>
      </cdr:nvSpPr>
      <cdr:spPr>
        <a:xfrm>
          <a:off x="476250" y="257175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Euro</a:t>
          </a:r>
        </a:p>
      </cdr:txBody>
    </cdr:sp>
  </cdr:relSizeAnchor>
  <cdr:relSizeAnchor xmlns:cdr="http://schemas.openxmlformats.org/drawingml/2006/chartDrawing">
    <cdr:from>
      <cdr:x>0.01575</cdr:x>
      <cdr:y>0.8825</cdr:y>
    </cdr:from>
    <cdr:to>
      <cdr:x>0.1255</cdr:x>
      <cdr:y>0.97875</cdr:y>
    </cdr:to>
    <cdr:sp>
      <cdr:nvSpPr>
        <cdr:cNvPr id="5" name="TextBox 8"/>
        <cdr:cNvSpPr txBox="1">
          <a:spLocks noChangeArrowheads="1"/>
        </cdr:cNvSpPr>
      </cdr:nvSpPr>
      <cdr:spPr>
        <a:xfrm>
          <a:off x="104775" y="4714875"/>
          <a:ext cx="7429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Quelle: 
Statistisches
Bundesamt</a:t>
          </a:r>
        </a:p>
      </cdr:txBody>
    </cdr:sp>
  </cdr:relSizeAnchor>
  <cdr:relSizeAnchor xmlns:cdr="http://schemas.openxmlformats.org/drawingml/2006/chartDrawing">
    <cdr:from>
      <cdr:x>0.696</cdr:x>
      <cdr:y>0.085</cdr:y>
    </cdr:from>
    <cdr:to>
      <cdr:x>0.7555</cdr:x>
      <cdr:y>0.487</cdr:y>
    </cdr:to>
    <cdr:sp>
      <cdr:nvSpPr>
        <cdr:cNvPr id="6" name="Line 9"/>
        <cdr:cNvSpPr>
          <a:spLocks/>
        </cdr:cNvSpPr>
      </cdr:nvSpPr>
      <cdr:spPr>
        <a:xfrm flipH="1">
          <a:off x="4714875" y="447675"/>
          <a:ext cx="40005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0.73825</cdr:x>
      <cdr:y>0.085</cdr:y>
    </cdr:from>
    <cdr:to>
      <cdr:x>0.7555</cdr:x>
      <cdr:y>0.4255</cdr:y>
    </cdr:to>
    <cdr:sp>
      <cdr:nvSpPr>
        <cdr:cNvPr id="7" name="Line 10"/>
        <cdr:cNvSpPr>
          <a:spLocks/>
        </cdr:cNvSpPr>
      </cdr:nvSpPr>
      <cdr:spPr>
        <a:xfrm flipH="1">
          <a:off x="5000625" y="447675"/>
          <a:ext cx="11430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0.80675</cdr:x>
      <cdr:y>0.12575</cdr:y>
    </cdr:from>
    <cdr:to>
      <cdr:x>0.999</cdr:x>
      <cdr:y>0.222</cdr:y>
    </cdr:to>
    <cdr:sp>
      <cdr:nvSpPr>
        <cdr:cNvPr id="8" name="TextBox 11"/>
        <cdr:cNvSpPr txBox="1">
          <a:spLocks noChangeArrowheads="1"/>
        </cdr:cNvSpPr>
      </cdr:nvSpPr>
      <cdr:spPr>
        <a:xfrm>
          <a:off x="5467350" y="666750"/>
          <a:ext cx="13049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Halbeinkünfteverfahren minderte die steuerlich relevanten Einkünfte</a:t>
          </a:r>
        </a:p>
      </cdr:txBody>
    </cdr:sp>
  </cdr:relSizeAnchor>
  <cdr:relSizeAnchor xmlns:cdr="http://schemas.openxmlformats.org/drawingml/2006/chartDrawing">
    <cdr:from>
      <cdr:x>0.781</cdr:x>
      <cdr:y>0.2145</cdr:y>
    </cdr:from>
    <cdr:to>
      <cdr:x>0.82</cdr:x>
      <cdr:y>0.75075</cdr:y>
    </cdr:to>
    <cdr:sp>
      <cdr:nvSpPr>
        <cdr:cNvPr id="9" name="Line 12"/>
        <cdr:cNvSpPr>
          <a:spLocks/>
        </cdr:cNvSpPr>
      </cdr:nvSpPr>
      <cdr:spPr>
        <a:xfrm flipH="1">
          <a:off x="5295900" y="1143000"/>
          <a:ext cx="266700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7818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0.90475</cdr:y>
    </cdr:from>
    <cdr:to>
      <cdr:x>0.08075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5200650"/>
          <a:ext cx="7334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Quelle: 
Statistisches
Bundesamt</a:t>
          </a:r>
        </a:p>
      </cdr:txBody>
    </cdr:sp>
  </cdr:relSizeAnchor>
  <cdr:relSizeAnchor xmlns:cdr="http://schemas.openxmlformats.org/drawingml/2006/chartDrawing">
    <cdr:from>
      <cdr:x>0.0175</cdr:x>
      <cdr:y>0.0765</cdr:y>
    </cdr:from>
    <cdr:to>
      <cdr:x>0.18525</cdr:x>
      <cdr:y>0.13575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" y="438150"/>
          <a:ext cx="1552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M1 in DM
Einkünfte in 1/1.000.000 DM</a:t>
          </a:r>
        </a:p>
      </cdr:txBody>
    </cdr:sp>
  </cdr:relSizeAnchor>
  <cdr:relSizeAnchor xmlns:cdr="http://schemas.openxmlformats.org/drawingml/2006/chartDrawing">
    <cdr:from>
      <cdr:x>0.89825</cdr:x>
      <cdr:y>0.09375</cdr:y>
    </cdr:from>
    <cdr:to>
      <cdr:x>0.967</cdr:x>
      <cdr:y>0.136</cdr:y>
    </cdr:to>
    <cdr:sp>
      <cdr:nvSpPr>
        <cdr:cNvPr id="3" name="TextBox 3"/>
        <cdr:cNvSpPr txBox="1">
          <a:spLocks noChangeArrowheads="1"/>
        </cdr:cNvSpPr>
      </cdr:nvSpPr>
      <cdr:spPr>
        <a:xfrm>
          <a:off x="8296275" y="53340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Anteil</a:t>
          </a:r>
        </a:p>
      </cdr:txBody>
    </cdr:sp>
  </cdr:relSizeAnchor>
  <cdr:relSizeAnchor xmlns:cdr="http://schemas.openxmlformats.org/drawingml/2006/chartDrawing">
    <cdr:from>
      <cdr:x>0.81775</cdr:x>
      <cdr:y>0.68575</cdr:y>
    </cdr:from>
    <cdr:to>
      <cdr:x>0.8365</cdr:x>
      <cdr:y>0.723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3943350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?</a:t>
          </a:r>
        </a:p>
      </cdr:txBody>
    </cdr:sp>
  </cdr:relSizeAnchor>
  <cdr:relSizeAnchor xmlns:cdr="http://schemas.openxmlformats.org/drawingml/2006/chartDrawing">
    <cdr:from>
      <cdr:x>0.7605</cdr:x>
      <cdr:y>0.58075</cdr:y>
    </cdr:from>
    <cdr:to>
      <cdr:x>0.8545</cdr:x>
      <cdr:y>0.61625</cdr:y>
    </cdr:to>
    <cdr:sp>
      <cdr:nvSpPr>
        <cdr:cNvPr id="5" name="Line 5"/>
        <cdr:cNvSpPr>
          <a:spLocks/>
        </cdr:cNvSpPr>
      </cdr:nvSpPr>
      <cdr:spPr>
        <a:xfrm>
          <a:off x="7019925" y="3333750"/>
          <a:ext cx="866775" cy="200025"/>
        </a:xfrm>
        <a:prstGeom prst="line">
          <a:avLst/>
        </a:prstGeom>
        <a:noFill/>
        <a:ln w="952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0.9025</cdr:y>
    </cdr:from>
    <cdr:to>
      <cdr:x>0.08225</cdr:x>
      <cdr:y>0.9905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5191125"/>
          <a:ext cx="7334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Quelle: 
Statistisches
Bundesamt</a:t>
          </a:r>
        </a:p>
      </cdr:txBody>
    </cdr:sp>
  </cdr:relSizeAnchor>
  <cdr:relSizeAnchor xmlns:cdr="http://schemas.openxmlformats.org/drawingml/2006/chartDrawing">
    <cdr:from>
      <cdr:x>0.0295</cdr:x>
      <cdr:y>0.0765</cdr:y>
    </cdr:from>
    <cdr:to>
      <cdr:x>0.1775</cdr:x>
      <cdr:y>0.13575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438150"/>
          <a:ext cx="13716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M1 in DM
Einkünfte in 1/10.000 DM</a:t>
          </a:r>
        </a:p>
      </cdr:txBody>
    </cdr:sp>
  </cdr:relSizeAnchor>
  <cdr:relSizeAnchor xmlns:cdr="http://schemas.openxmlformats.org/drawingml/2006/chartDrawing">
    <cdr:from>
      <cdr:x>0.89575</cdr:x>
      <cdr:y>0.09275</cdr:y>
    </cdr:from>
    <cdr:to>
      <cdr:x>0.9645</cdr:x>
      <cdr:y>0.14525</cdr:y>
    </cdr:to>
    <cdr:sp>
      <cdr:nvSpPr>
        <cdr:cNvPr id="3" name="TextBox 3"/>
        <cdr:cNvSpPr txBox="1">
          <a:spLocks noChangeArrowheads="1"/>
        </cdr:cNvSpPr>
      </cdr:nvSpPr>
      <cdr:spPr>
        <a:xfrm>
          <a:off x="8267700" y="533400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Anteil</a:t>
          </a:r>
        </a:p>
      </cdr:txBody>
    </cdr:sp>
  </cdr:relSizeAnchor>
  <cdr:relSizeAnchor xmlns:cdr="http://schemas.openxmlformats.org/drawingml/2006/chartDrawing">
    <cdr:from>
      <cdr:x>0.762</cdr:x>
      <cdr:y>0.07725</cdr:y>
    </cdr:from>
    <cdr:to>
      <cdr:x>0.88725</cdr:x>
      <cdr:y>0.70225</cdr:y>
    </cdr:to>
    <cdr:sp>
      <cdr:nvSpPr>
        <cdr:cNvPr id="4" name="Line 4"/>
        <cdr:cNvSpPr>
          <a:spLocks/>
        </cdr:cNvSpPr>
      </cdr:nvSpPr>
      <cdr:spPr>
        <a:xfrm flipH="1">
          <a:off x="7038975" y="438150"/>
          <a:ext cx="1152525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0.85675</cdr:x>
      <cdr:y>0</cdr:y>
    </cdr:from>
    <cdr:to>
      <cdr:x>1</cdr:x>
      <cdr:y>0.07775</cdr:y>
    </cdr:to>
    <cdr:sp>
      <cdr:nvSpPr>
        <cdr:cNvPr id="5" name="TextBox 5"/>
        <cdr:cNvSpPr txBox="1">
          <a:spLocks noChangeArrowheads="1"/>
        </cdr:cNvSpPr>
      </cdr:nvSpPr>
      <cdr:spPr>
        <a:xfrm>
          <a:off x="7915275" y="0"/>
          <a:ext cx="13620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Neue Abschreibungs- 
möglichkeiten  durch die neuen Bundesländer</a:t>
          </a:r>
        </a:p>
      </cdr:txBody>
    </cdr:sp>
  </cdr:relSizeAnchor>
  <cdr:relSizeAnchor xmlns:cdr="http://schemas.openxmlformats.org/drawingml/2006/chartDrawing">
    <cdr:from>
      <cdr:x>0.81175</cdr:x>
      <cdr:y>0.07725</cdr:y>
    </cdr:from>
    <cdr:to>
      <cdr:x>0.88725</cdr:x>
      <cdr:y>0.70225</cdr:y>
    </cdr:to>
    <cdr:sp>
      <cdr:nvSpPr>
        <cdr:cNvPr id="6" name="Line 6"/>
        <cdr:cNvSpPr>
          <a:spLocks/>
        </cdr:cNvSpPr>
      </cdr:nvSpPr>
      <cdr:spPr>
        <a:xfrm flipH="1">
          <a:off x="7496175" y="438150"/>
          <a:ext cx="695325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0.709</cdr:x>
      <cdr:y>0.0785</cdr:y>
    </cdr:from>
    <cdr:to>
      <cdr:x>0.88725</cdr:x>
      <cdr:y>0.67275</cdr:y>
    </cdr:to>
    <cdr:sp>
      <cdr:nvSpPr>
        <cdr:cNvPr id="7" name="Line 8"/>
        <cdr:cNvSpPr>
          <a:spLocks/>
        </cdr:cNvSpPr>
      </cdr:nvSpPr>
      <cdr:spPr>
        <a:xfrm flipH="1">
          <a:off x="6543675" y="447675"/>
          <a:ext cx="1647825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0.866</cdr:x>
      <cdr:y>0.07625</cdr:y>
    </cdr:from>
    <cdr:to>
      <cdr:x>0.88725</cdr:x>
      <cdr:y>0.70225</cdr:y>
    </cdr:to>
    <cdr:sp>
      <cdr:nvSpPr>
        <cdr:cNvPr id="8" name="Line 9"/>
        <cdr:cNvSpPr>
          <a:spLocks/>
        </cdr:cNvSpPr>
      </cdr:nvSpPr>
      <cdr:spPr>
        <a:xfrm flipH="1">
          <a:off x="8001000" y="438150"/>
          <a:ext cx="200025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0.8975</cdr:y>
    </cdr:from>
    <cdr:to>
      <cdr:x>0.08375</cdr:x>
      <cdr:y>0.9855</cdr:y>
    </cdr:to>
    <cdr:sp>
      <cdr:nvSpPr>
        <cdr:cNvPr id="1" name="TextBox 4"/>
        <cdr:cNvSpPr txBox="1">
          <a:spLocks noChangeArrowheads="1"/>
        </cdr:cNvSpPr>
      </cdr:nvSpPr>
      <cdr:spPr>
        <a:xfrm>
          <a:off x="38100" y="5162550"/>
          <a:ext cx="7334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Quelle: 
Statistisches
Bundesamt</a:t>
          </a:r>
        </a:p>
      </cdr:txBody>
    </cdr:sp>
  </cdr:relSizeAnchor>
  <cdr:relSizeAnchor xmlns:cdr="http://schemas.openxmlformats.org/drawingml/2006/chartDrawing">
    <cdr:from>
      <cdr:x>0.01725</cdr:x>
      <cdr:y>0.0765</cdr:y>
    </cdr:from>
    <cdr:to>
      <cdr:x>0.1935</cdr:x>
      <cdr:y>0.13575</cdr:y>
    </cdr:to>
    <cdr:sp>
      <cdr:nvSpPr>
        <cdr:cNvPr id="2" name="TextBox 5"/>
        <cdr:cNvSpPr txBox="1">
          <a:spLocks noChangeArrowheads="1"/>
        </cdr:cNvSpPr>
      </cdr:nvSpPr>
      <cdr:spPr>
        <a:xfrm>
          <a:off x="152400" y="438150"/>
          <a:ext cx="1628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M3 in DM
Einkünfte in 1/1.000.000 DM</a:t>
          </a:r>
        </a:p>
      </cdr:txBody>
    </cdr:sp>
  </cdr:relSizeAnchor>
  <cdr:relSizeAnchor xmlns:cdr="http://schemas.openxmlformats.org/drawingml/2006/chartDrawing">
    <cdr:from>
      <cdr:x>0.89575</cdr:x>
      <cdr:y>0.09275</cdr:y>
    </cdr:from>
    <cdr:to>
      <cdr:x>0.9645</cdr:x>
      <cdr:y>0.14525</cdr:y>
    </cdr:to>
    <cdr:sp>
      <cdr:nvSpPr>
        <cdr:cNvPr id="3" name="TextBox 6"/>
        <cdr:cNvSpPr txBox="1">
          <a:spLocks noChangeArrowheads="1"/>
        </cdr:cNvSpPr>
      </cdr:nvSpPr>
      <cdr:spPr>
        <a:xfrm>
          <a:off x="8267700" y="533400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Anteil</a:t>
          </a:r>
        </a:p>
      </cdr:txBody>
    </cdr:sp>
  </cdr:relSizeAnchor>
  <cdr:relSizeAnchor xmlns:cdr="http://schemas.openxmlformats.org/drawingml/2006/chartDrawing">
    <cdr:from>
      <cdr:x>0.76175</cdr:x>
      <cdr:y>0.54525</cdr:y>
    </cdr:from>
    <cdr:to>
      <cdr:x>0.85625</cdr:x>
      <cdr:y>0.58075</cdr:y>
    </cdr:to>
    <cdr:sp>
      <cdr:nvSpPr>
        <cdr:cNvPr id="4" name="Line 9"/>
        <cdr:cNvSpPr>
          <a:spLocks/>
        </cdr:cNvSpPr>
      </cdr:nvSpPr>
      <cdr:spPr>
        <a:xfrm>
          <a:off x="7029450" y="3133725"/>
          <a:ext cx="876300" cy="200025"/>
        </a:xfrm>
        <a:prstGeom prst="line">
          <a:avLst/>
        </a:prstGeom>
        <a:noFill/>
        <a:ln w="952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0.8235</cdr:x>
      <cdr:y>0.638</cdr:y>
    </cdr:from>
    <cdr:to>
      <cdr:x>0.84225</cdr:x>
      <cdr:y>0.677</cdr:y>
    </cdr:to>
    <cdr:sp>
      <cdr:nvSpPr>
        <cdr:cNvPr id="5" name="TextBox 10"/>
        <cdr:cNvSpPr txBox="1">
          <a:spLocks noChangeArrowheads="1"/>
        </cdr:cNvSpPr>
      </cdr:nvSpPr>
      <cdr:spPr>
        <a:xfrm>
          <a:off x="7600950" y="3667125"/>
          <a:ext cx="171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?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0.88325</cdr:y>
    </cdr:from>
    <cdr:to>
      <cdr:x>0.0865</cdr:x>
      <cdr:y>0.97125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5076825"/>
          <a:ext cx="7334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Quelle: 
Statistisches
Bundesamt</a:t>
          </a:r>
        </a:p>
      </cdr:txBody>
    </cdr:sp>
  </cdr:relSizeAnchor>
  <cdr:relSizeAnchor xmlns:cdr="http://schemas.openxmlformats.org/drawingml/2006/chartDrawing">
    <cdr:from>
      <cdr:x>0.0305</cdr:x>
      <cdr:y>0.07675</cdr:y>
    </cdr:from>
    <cdr:to>
      <cdr:x>0.18475</cdr:x>
      <cdr:y>0.136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" y="438150"/>
          <a:ext cx="14287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M3 in DM
Einkünfte in 1/10.000 DM</a:t>
          </a:r>
        </a:p>
      </cdr:txBody>
    </cdr:sp>
  </cdr:relSizeAnchor>
  <cdr:relSizeAnchor xmlns:cdr="http://schemas.openxmlformats.org/drawingml/2006/chartDrawing">
    <cdr:from>
      <cdr:x>0.89575</cdr:x>
      <cdr:y>0.09275</cdr:y>
    </cdr:from>
    <cdr:to>
      <cdr:x>0.9645</cdr:x>
      <cdr:y>0.14525</cdr:y>
    </cdr:to>
    <cdr:sp>
      <cdr:nvSpPr>
        <cdr:cNvPr id="3" name="TextBox 3"/>
        <cdr:cNvSpPr txBox="1">
          <a:spLocks noChangeArrowheads="1"/>
        </cdr:cNvSpPr>
      </cdr:nvSpPr>
      <cdr:spPr>
        <a:xfrm>
          <a:off x="8267700" y="533400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Anteil</a:t>
          </a:r>
        </a:p>
      </cdr:txBody>
    </cdr:sp>
  </cdr:relSizeAnchor>
  <cdr:relSizeAnchor xmlns:cdr="http://schemas.openxmlformats.org/drawingml/2006/chartDrawing">
    <cdr:from>
      <cdr:x>0.76175</cdr:x>
      <cdr:y>0.09175</cdr:y>
    </cdr:from>
    <cdr:to>
      <cdr:x>0.8835</cdr:x>
      <cdr:y>0.6575</cdr:y>
    </cdr:to>
    <cdr:sp>
      <cdr:nvSpPr>
        <cdr:cNvPr id="4" name="Line 4"/>
        <cdr:cNvSpPr>
          <a:spLocks/>
        </cdr:cNvSpPr>
      </cdr:nvSpPr>
      <cdr:spPr>
        <a:xfrm flipH="1">
          <a:off x="7029450" y="523875"/>
          <a:ext cx="112395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</cdr:x>
      <cdr:y>0.09175</cdr:y>
    </cdr:from>
    <cdr:to>
      <cdr:x>0.8835</cdr:x>
      <cdr:y>0.669</cdr:y>
    </cdr:to>
    <cdr:sp>
      <cdr:nvSpPr>
        <cdr:cNvPr id="5" name="Line 6"/>
        <cdr:cNvSpPr>
          <a:spLocks/>
        </cdr:cNvSpPr>
      </cdr:nvSpPr>
      <cdr:spPr>
        <a:xfrm flipH="1">
          <a:off x="7524750" y="523875"/>
          <a:ext cx="628650" cy="332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0.85625</cdr:x>
      <cdr:y>0</cdr:y>
    </cdr:from>
    <cdr:to>
      <cdr:x>1</cdr:x>
      <cdr:y>0.07775</cdr:y>
    </cdr:to>
    <cdr:sp>
      <cdr:nvSpPr>
        <cdr:cNvPr id="6" name="TextBox 7"/>
        <cdr:cNvSpPr txBox="1">
          <a:spLocks noChangeArrowheads="1"/>
        </cdr:cNvSpPr>
      </cdr:nvSpPr>
      <cdr:spPr>
        <a:xfrm>
          <a:off x="7905750" y="0"/>
          <a:ext cx="13620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Neue Abschreibungs- 
möglichkeiten  durch die neuen Bundesländer</a:t>
          </a:r>
        </a:p>
      </cdr:txBody>
    </cdr:sp>
  </cdr:relSizeAnchor>
  <cdr:relSizeAnchor xmlns:cdr="http://schemas.openxmlformats.org/drawingml/2006/chartDrawing">
    <cdr:from>
      <cdr:x>0.709</cdr:x>
      <cdr:y>0.09275</cdr:y>
    </cdr:from>
    <cdr:to>
      <cdr:x>0.8835</cdr:x>
      <cdr:y>0.638</cdr:y>
    </cdr:to>
    <cdr:sp>
      <cdr:nvSpPr>
        <cdr:cNvPr id="7" name="Line 8"/>
        <cdr:cNvSpPr>
          <a:spLocks/>
        </cdr:cNvSpPr>
      </cdr:nvSpPr>
      <cdr:spPr>
        <a:xfrm flipH="1">
          <a:off x="6543675" y="533400"/>
          <a:ext cx="1609725" cy="3133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0.86525</cdr:x>
      <cdr:y>0.09275</cdr:y>
    </cdr:from>
    <cdr:to>
      <cdr:x>0.88425</cdr:x>
      <cdr:y>0.669</cdr:y>
    </cdr:to>
    <cdr:sp>
      <cdr:nvSpPr>
        <cdr:cNvPr id="8" name="Line 9"/>
        <cdr:cNvSpPr>
          <a:spLocks/>
        </cdr:cNvSpPr>
      </cdr:nvSpPr>
      <cdr:spPr>
        <a:xfrm flipH="1">
          <a:off x="7991475" y="533400"/>
          <a:ext cx="171450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ec.destatis.de/csp/shop/sfg/bpm.html.cms.cBroker.cls?cmspath=struktur,vollanzeige.csp&amp;ID=1018140" TargetMode="External" /><Relationship Id="rId2" Type="http://schemas.openxmlformats.org/officeDocument/2006/relationships/hyperlink" Target="http://217.110.182.54/download/volkswirtschaft/monatsberichte/2002/200206mb.pdf" TargetMode="External" /><Relationship Id="rId3" Type="http://schemas.openxmlformats.org/officeDocument/2006/relationships/hyperlink" Target="http://217.110.182.54/download/volkswirtschaft/monatsberichte/2002/200206mb.pdf" TargetMode="External" /><Relationship Id="rId4" Type="http://schemas.openxmlformats.org/officeDocument/2006/relationships/hyperlink" Target="http://217.110.182.54/download/volkswirtschaft/monatsberichte/2002/200206mb.pdf" TargetMode="External" /><Relationship Id="rId5" Type="http://schemas.openxmlformats.org/officeDocument/2006/relationships/hyperlink" Target="http://217.110.182.54/download/volkswirtschaft/monatsberichte/2002/200206mb.pdf" TargetMode="External" /><Relationship Id="rId6" Type="http://schemas.openxmlformats.org/officeDocument/2006/relationships/hyperlink" Target="https://www-ec.destatis.de/csp/shop/sfg/bpm.html.cms.cBroker.cls?cmspath=struktur,vollanzeige.csp&amp;ID=1023646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61"/>
  <sheetViews>
    <sheetView zoomScale="80" zoomScaleNormal="80" workbookViewId="0" topLeftCell="M274">
      <selection activeCell="T312" sqref="T312"/>
    </sheetView>
  </sheetViews>
  <sheetFormatPr defaultColWidth="11.421875" defaultRowHeight="12.75"/>
  <cols>
    <col min="1" max="1" width="29.421875" style="0" customWidth="1"/>
    <col min="2" max="7" width="16.7109375" style="0" customWidth="1"/>
    <col min="8" max="8" width="18.28125" style="0" customWidth="1"/>
    <col min="9" max="11" width="16.7109375" style="0" customWidth="1"/>
    <col min="12" max="12" width="17.8515625" style="0" customWidth="1"/>
    <col min="13" max="49" width="16.7109375" style="0" customWidth="1"/>
    <col min="50" max="50" width="30.00390625" style="0" customWidth="1"/>
    <col min="51" max="62" width="16.7109375" style="0" customWidth="1"/>
    <col min="63" max="63" width="14.7109375" style="0" customWidth="1"/>
    <col min="65" max="66" width="16.57421875" style="0" bestFit="1" customWidth="1"/>
    <col min="67" max="68" width="13.8515625" style="0" bestFit="1" customWidth="1"/>
  </cols>
  <sheetData>
    <row r="1" spans="1:5" ht="32.25" customHeight="1">
      <c r="A1" s="72" t="s">
        <v>53</v>
      </c>
      <c r="B1" s="73"/>
      <c r="C1" s="73"/>
      <c r="D1" s="73"/>
      <c r="E1" s="73"/>
    </row>
    <row r="2" spans="1:7" ht="12.75">
      <c r="A2" s="60" t="s">
        <v>54</v>
      </c>
      <c r="B2" s="30"/>
      <c r="C2" s="30"/>
      <c r="D2" s="30"/>
      <c r="E2" s="30"/>
      <c r="G2" s="57"/>
    </row>
    <row r="3" spans="1:7" ht="12.75">
      <c r="A3" s="29" t="s">
        <v>45</v>
      </c>
      <c r="B3" s="65">
        <v>1961</v>
      </c>
      <c r="C3" s="31" t="s">
        <v>13</v>
      </c>
      <c r="D3" s="15"/>
      <c r="E3" s="15"/>
      <c r="F3" s="15"/>
      <c r="G3" s="16"/>
    </row>
    <row r="4" spans="1:7" ht="12.75">
      <c r="A4" s="29" t="s">
        <v>0</v>
      </c>
      <c r="B4" s="17" t="s">
        <v>4</v>
      </c>
      <c r="C4" s="6"/>
      <c r="D4" s="18" t="s">
        <v>5</v>
      </c>
      <c r="E4" s="18" t="s">
        <v>46</v>
      </c>
      <c r="F4" s="6" t="s">
        <v>3</v>
      </c>
      <c r="G4" s="19" t="s">
        <v>47</v>
      </c>
    </row>
    <row r="5" spans="1:7" ht="12.75">
      <c r="A5" s="67">
        <v>1</v>
      </c>
      <c r="B5" s="20"/>
      <c r="C5" s="21">
        <f aca="true" t="shared" si="0" ref="C5:C11">C6+B5</f>
        <v>22218600</v>
      </c>
      <c r="D5" s="22"/>
      <c r="E5" s="22">
        <f>D5/1.95583</f>
        <v>0</v>
      </c>
      <c r="F5" s="9"/>
      <c r="G5" s="49">
        <f>F5/1.95583</f>
        <v>0</v>
      </c>
    </row>
    <row r="6" spans="1:7" ht="12.75">
      <c r="A6" s="67">
        <v>25000</v>
      </c>
      <c r="B6" s="20">
        <f>3035800+2244800+4372900+6946800+3432100+994500+660200</f>
        <v>21687100</v>
      </c>
      <c r="C6" s="21">
        <f t="shared" si="0"/>
        <v>22218600</v>
      </c>
      <c r="D6" s="22">
        <f>1562900+5144100+18032900+44380900+32333600+13361400+12706200</f>
        <v>127522000</v>
      </c>
      <c r="E6" s="22">
        <f aca="true" t="shared" si="1" ref="E6:E14">D6/1.95583</f>
        <v>65200963.273904175</v>
      </c>
      <c r="F6" s="9">
        <f aca="true" t="shared" si="2" ref="F6:F11">D6*1000/B6</f>
        <v>5880.085396387714</v>
      </c>
      <c r="G6" s="49">
        <f aca="true" t="shared" si="3" ref="G6:G14">F6/1.95583</f>
        <v>3006.4399239134864</v>
      </c>
    </row>
    <row r="7" spans="1:7" ht="12.75">
      <c r="A7" s="67">
        <v>100000</v>
      </c>
      <c r="B7" s="20">
        <f>350900+120700</f>
        <v>471600</v>
      </c>
      <c r="C7" s="21">
        <f t="shared" si="0"/>
        <v>531500</v>
      </c>
      <c r="D7" s="22">
        <f>11956900+8141100</f>
        <v>20098000</v>
      </c>
      <c r="E7" s="22">
        <f t="shared" si="1"/>
        <v>10275944.228281599</v>
      </c>
      <c r="F7" s="9">
        <f t="shared" si="2"/>
        <v>42616.62425784563</v>
      </c>
      <c r="G7" s="49">
        <f t="shared" si="3"/>
        <v>21789.53398702629</v>
      </c>
    </row>
    <row r="8" spans="1:7" ht="12.75">
      <c r="A8" s="67">
        <v>250000</v>
      </c>
      <c r="B8" s="20">
        <v>45100</v>
      </c>
      <c r="C8" s="21">
        <f t="shared" si="0"/>
        <v>59900</v>
      </c>
      <c r="D8" s="22">
        <v>6643200</v>
      </c>
      <c r="E8" s="22">
        <f t="shared" si="1"/>
        <v>3396614.225162719</v>
      </c>
      <c r="F8" s="9">
        <f t="shared" si="2"/>
        <v>147299.33481152993</v>
      </c>
      <c r="G8" s="49">
        <f t="shared" si="3"/>
        <v>75312.95399473877</v>
      </c>
    </row>
    <row r="9" spans="1:7" ht="12.75">
      <c r="A9" s="67">
        <v>500000</v>
      </c>
      <c r="B9" s="20">
        <v>9700</v>
      </c>
      <c r="C9" s="21">
        <f t="shared" si="0"/>
        <v>14800</v>
      </c>
      <c r="D9" s="22">
        <v>3306900</v>
      </c>
      <c r="E9" s="22">
        <f t="shared" si="1"/>
        <v>1690791.121927775</v>
      </c>
      <c r="F9" s="9">
        <f t="shared" si="2"/>
        <v>340917.5257731959</v>
      </c>
      <c r="G9" s="49">
        <f t="shared" si="3"/>
        <v>174308.36308533762</v>
      </c>
    </row>
    <row r="10" spans="1:7" ht="12.75">
      <c r="A10" s="67">
        <v>1000000</v>
      </c>
      <c r="B10" s="20">
        <v>3500</v>
      </c>
      <c r="C10" s="21">
        <f t="shared" si="0"/>
        <v>5100</v>
      </c>
      <c r="D10" s="22">
        <v>2345900</v>
      </c>
      <c r="E10" s="22">
        <f t="shared" si="1"/>
        <v>1199439.624098209</v>
      </c>
      <c r="F10" s="9">
        <f t="shared" si="2"/>
        <v>670257.1428571428</v>
      </c>
      <c r="G10" s="49">
        <f t="shared" si="3"/>
        <v>342697.0354566311</v>
      </c>
    </row>
    <row r="11" spans="1:7" ht="12.75">
      <c r="A11" s="67">
        <v>2000000</v>
      </c>
      <c r="B11" s="20">
        <v>1600</v>
      </c>
      <c r="C11" s="21">
        <f t="shared" si="0"/>
        <v>1600</v>
      </c>
      <c r="D11" s="22">
        <v>3749000</v>
      </c>
      <c r="E11" s="22">
        <f t="shared" si="1"/>
        <v>1916833.262604623</v>
      </c>
      <c r="F11" s="9">
        <f t="shared" si="2"/>
        <v>2343125</v>
      </c>
      <c r="G11" s="49">
        <f t="shared" si="3"/>
        <v>1198020.7891278896</v>
      </c>
    </row>
    <row r="12" spans="1:7" ht="12.75">
      <c r="A12" s="67">
        <v>5000000</v>
      </c>
      <c r="B12" s="20"/>
      <c r="C12" s="21">
        <f>C13+B12</f>
        <v>0</v>
      </c>
      <c r="D12" s="22"/>
      <c r="E12" s="22">
        <f t="shared" si="1"/>
        <v>0</v>
      </c>
      <c r="F12" s="9"/>
      <c r="G12" s="49">
        <f t="shared" si="3"/>
        <v>0</v>
      </c>
    </row>
    <row r="13" spans="1:7" ht="12.75">
      <c r="A13" s="67">
        <v>10000000</v>
      </c>
      <c r="B13" s="20"/>
      <c r="C13" s="24">
        <f>C14+B13</f>
        <v>0</v>
      </c>
      <c r="D13" s="22"/>
      <c r="E13" s="22">
        <f t="shared" si="1"/>
        <v>0</v>
      </c>
      <c r="F13" s="9"/>
      <c r="G13" s="49">
        <f t="shared" si="3"/>
        <v>0</v>
      </c>
    </row>
    <row r="14" spans="1:7" ht="12.75">
      <c r="A14" s="29" t="s">
        <v>1</v>
      </c>
      <c r="B14" s="20"/>
      <c r="C14" s="24">
        <f>C15+B14</f>
        <v>0</v>
      </c>
      <c r="D14" s="22"/>
      <c r="E14" s="22">
        <f t="shared" si="1"/>
        <v>0</v>
      </c>
      <c r="F14" s="9"/>
      <c r="G14" s="49">
        <f t="shared" si="3"/>
        <v>0</v>
      </c>
    </row>
    <row r="15" spans="1:7" ht="12.75">
      <c r="A15" s="29" t="s">
        <v>2</v>
      </c>
      <c r="B15" s="20">
        <f>SUM(B5:B14)</f>
        <v>22218600</v>
      </c>
      <c r="C15" s="24"/>
      <c r="D15" s="22">
        <f>SUM(D5:D14)</f>
        <v>163665000</v>
      </c>
      <c r="E15" s="22">
        <f>SUM(E5:E14)</f>
        <v>83680585.7359791</v>
      </c>
      <c r="F15" s="9">
        <f>D15*1000/B15</f>
        <v>7366.125678485593</v>
      </c>
      <c r="G15" s="19"/>
    </row>
    <row r="16" spans="2:7" ht="12.75">
      <c r="B16" s="25"/>
      <c r="C16" s="6"/>
      <c r="D16" s="9"/>
      <c r="E16" s="6"/>
      <c r="F16" s="6"/>
      <c r="G16" s="19"/>
    </row>
    <row r="17" spans="2:7" ht="12.75">
      <c r="B17" s="20">
        <v>1000</v>
      </c>
      <c r="C17" s="24"/>
      <c r="D17" s="32">
        <f>D14+D13+D12+D11/B11*(B11-C11+1000)</f>
        <v>2343125</v>
      </c>
      <c r="E17" s="22">
        <f>D17/1.95583</f>
        <v>1198020.7891278896</v>
      </c>
      <c r="F17" s="24">
        <f>D17*1000/B17</f>
        <v>2343125</v>
      </c>
      <c r="G17" s="49">
        <f>F17/1.95583</f>
        <v>1198020.7891278896</v>
      </c>
    </row>
    <row r="18" spans="2:7" ht="12.75">
      <c r="B18" s="20">
        <v>10000</v>
      </c>
      <c r="C18" s="24"/>
      <c r="D18" s="24">
        <f>SUM(D$10:D$14)+D$9/B$9*(B$9-C$9+11000)-D$17</f>
        <v>5763188.402061855</v>
      </c>
      <c r="E18" s="22">
        <f>D18/1.95583</f>
        <v>2946671.4397784346</v>
      </c>
      <c r="F18" s="24">
        <f>D18*1000/B18</f>
        <v>576318.8402061856</v>
      </c>
      <c r="G18" s="49">
        <f>F18/1.95583</f>
        <v>294667.14397784346</v>
      </c>
    </row>
    <row r="19" spans="2:7" ht="12.75">
      <c r="B19" s="20">
        <v>100000</v>
      </c>
      <c r="C19" s="24"/>
      <c r="D19" s="24">
        <f>SUM(D$8:D$14)+D$7/B$7*(B$7-C$7+111000)-D$17-D$18</f>
        <v>10116396.097514058</v>
      </c>
      <c r="E19" s="22">
        <f>D19/1.95583</f>
        <v>5172431.191624046</v>
      </c>
      <c r="F19" s="24">
        <f>D19*1000/B19</f>
        <v>101163.96097514057</v>
      </c>
      <c r="G19" s="49">
        <f>F19/1.95583</f>
        <v>51724.311916240455</v>
      </c>
    </row>
    <row r="20" spans="2:7" ht="12.75">
      <c r="B20" s="20">
        <v>1000000</v>
      </c>
      <c r="C20" s="24"/>
      <c r="D20" s="24">
        <f>SUM(D$7:D$14)+D$6/B$6*(B$6-C$6+1111000)-D$17-D$18-D$19</f>
        <v>21327799.98763077</v>
      </c>
      <c r="E20" s="22">
        <f>D20/1.95583</f>
        <v>10904730.977452422</v>
      </c>
      <c r="F20" s="24">
        <f>D20*1000/B20</f>
        <v>21327.79998763077</v>
      </c>
      <c r="G20" s="49">
        <f>F20/1.95583</f>
        <v>10904.730977452422</v>
      </c>
    </row>
    <row r="21" spans="2:7" ht="12.75">
      <c r="B21" s="26">
        <f>B15-SUM(B17:B20)</f>
        <v>21107600</v>
      </c>
      <c r="C21" s="46">
        <f>B21/B15</f>
        <v>0.9499968494864663</v>
      </c>
      <c r="D21" s="27">
        <f>D15-SUM(D17:D20)</f>
        <v>124114490.51279332</v>
      </c>
      <c r="E21" s="66">
        <f>D21/1.95583</f>
        <v>63458731.33799631</v>
      </c>
      <c r="F21" s="27">
        <f>D21*1000/B21</f>
        <v>5880.085396387714</v>
      </c>
      <c r="G21" s="50">
        <f>F21/1.95583</f>
        <v>3006.4399239134864</v>
      </c>
    </row>
    <row r="22" spans="2:68" ht="12.75">
      <c r="B22" s="24"/>
      <c r="C22" s="62"/>
      <c r="D22" s="24"/>
      <c r="E22" s="24"/>
      <c r="F22" s="24"/>
      <c r="G22" s="62"/>
      <c r="H22" s="24"/>
      <c r="I22" s="24"/>
      <c r="J22" s="24"/>
      <c r="K22" s="62"/>
      <c r="L22" s="24"/>
      <c r="M22" s="24"/>
      <c r="N22" s="24"/>
      <c r="O22" s="62"/>
      <c r="P22" s="24"/>
      <c r="Q22" s="24"/>
      <c r="R22" s="24"/>
      <c r="S22" s="62"/>
      <c r="T22" s="24"/>
      <c r="U22" s="24"/>
      <c r="V22" s="24"/>
      <c r="W22" s="62"/>
      <c r="X22" s="24"/>
      <c r="Y22" s="24"/>
      <c r="Z22" s="24"/>
      <c r="AA22" s="62"/>
      <c r="AB22" s="24"/>
      <c r="AC22" s="24"/>
      <c r="AD22" s="24"/>
      <c r="AE22" s="62"/>
      <c r="AF22" s="24"/>
      <c r="AG22" s="24"/>
      <c r="AH22" s="24"/>
      <c r="AI22" s="62"/>
      <c r="AJ22" s="24"/>
      <c r="AK22" s="24"/>
      <c r="AL22" s="24"/>
      <c r="AM22" s="62"/>
      <c r="AN22" s="24"/>
      <c r="AO22" s="24"/>
      <c r="AP22" s="24"/>
      <c r="AQ22" s="62"/>
      <c r="AR22" s="24"/>
      <c r="AS22" s="24"/>
      <c r="AT22" s="24"/>
      <c r="AU22" s="62"/>
      <c r="AV22" s="24"/>
      <c r="AW22" s="24"/>
      <c r="AY22" s="24"/>
      <c r="AZ22" s="62"/>
      <c r="BA22" s="24"/>
      <c r="BB22" s="24"/>
      <c r="BC22" s="24"/>
      <c r="BD22" s="22"/>
      <c r="BE22" s="24"/>
      <c r="BF22" s="62"/>
      <c r="BG22" s="24"/>
      <c r="BH22" s="24"/>
      <c r="BI22" s="24"/>
      <c r="BJ22" s="22"/>
      <c r="BK22" s="24"/>
      <c r="BL22" s="62"/>
      <c r="BM22" s="24"/>
      <c r="BN22" s="24"/>
      <c r="BO22" s="24"/>
      <c r="BP22" s="22"/>
    </row>
    <row r="23" spans="2:69" ht="12.75">
      <c r="B23" s="29" t="s">
        <v>45</v>
      </c>
      <c r="C23" s="65">
        <v>1965</v>
      </c>
      <c r="D23" s="31" t="s">
        <v>14</v>
      </c>
      <c r="E23" s="15"/>
      <c r="F23" s="15"/>
      <c r="G23" s="15"/>
      <c r="H23" s="16"/>
      <c r="I23" s="24"/>
      <c r="J23" s="24"/>
      <c r="K23" s="24"/>
      <c r="L23" s="62"/>
      <c r="M23" s="24"/>
      <c r="N23" s="24"/>
      <c r="O23" s="24"/>
      <c r="P23" s="62"/>
      <c r="Q23" s="24"/>
      <c r="R23" s="24"/>
      <c r="S23" s="24"/>
      <c r="T23" s="62"/>
      <c r="U23" s="24"/>
      <c r="V23" s="24"/>
      <c r="W23" s="24"/>
      <c r="X23" s="62"/>
      <c r="Y23" s="24"/>
      <c r="Z23" s="24"/>
      <c r="AA23" s="24"/>
      <c r="AB23" s="62"/>
      <c r="AC23" s="24"/>
      <c r="AD23" s="24"/>
      <c r="AE23" s="24"/>
      <c r="AF23" s="62"/>
      <c r="AG23" s="24"/>
      <c r="AH23" s="24"/>
      <c r="AI23" s="24"/>
      <c r="AJ23" s="62"/>
      <c r="AK23" s="24"/>
      <c r="AL23" s="24"/>
      <c r="AM23" s="24"/>
      <c r="AN23" s="62"/>
      <c r="AO23" s="24"/>
      <c r="AP23" s="24"/>
      <c r="AQ23" s="24"/>
      <c r="AR23" s="62"/>
      <c r="AS23" s="24"/>
      <c r="AT23" s="24"/>
      <c r="AU23" s="24"/>
      <c r="AV23" s="62"/>
      <c r="AW23" s="24"/>
      <c r="AX23" s="24"/>
      <c r="AZ23" s="24"/>
      <c r="BA23" s="62"/>
      <c r="BB23" s="24"/>
      <c r="BC23" s="24"/>
      <c r="BD23" s="24"/>
      <c r="BE23" s="22"/>
      <c r="BF23" s="24"/>
      <c r="BG23" s="62"/>
      <c r="BH23" s="24"/>
      <c r="BI23" s="24"/>
      <c r="BJ23" s="24"/>
      <c r="BK23" s="22"/>
      <c r="BL23" s="24"/>
      <c r="BM23" s="62"/>
      <c r="BN23" s="24"/>
      <c r="BO23" s="24"/>
      <c r="BP23" s="24"/>
      <c r="BQ23" s="22"/>
    </row>
    <row r="24" spans="2:69" ht="12.75">
      <c r="B24" s="29" t="s">
        <v>0</v>
      </c>
      <c r="C24" s="17" t="s">
        <v>4</v>
      </c>
      <c r="D24" s="6"/>
      <c r="E24" s="18" t="s">
        <v>5</v>
      </c>
      <c r="F24" s="18" t="s">
        <v>46</v>
      </c>
      <c r="G24" s="6" t="s">
        <v>3</v>
      </c>
      <c r="H24" s="19" t="s">
        <v>47</v>
      </c>
      <c r="I24" s="24"/>
      <c r="J24" s="24"/>
      <c r="K24" s="24"/>
      <c r="L24" s="62"/>
      <c r="M24" s="24"/>
      <c r="N24" s="24"/>
      <c r="O24" s="24"/>
      <c r="P24" s="62"/>
      <c r="Q24" s="24"/>
      <c r="R24" s="24"/>
      <c r="S24" s="24"/>
      <c r="T24" s="62"/>
      <c r="U24" s="24"/>
      <c r="V24" s="24"/>
      <c r="W24" s="24"/>
      <c r="X24" s="62"/>
      <c r="Y24" s="24"/>
      <c r="Z24" s="24"/>
      <c r="AA24" s="24"/>
      <c r="AB24" s="62"/>
      <c r="AC24" s="24"/>
      <c r="AD24" s="24"/>
      <c r="AE24" s="24"/>
      <c r="AF24" s="62"/>
      <c r="AG24" s="24"/>
      <c r="AH24" s="24"/>
      <c r="AI24" s="24"/>
      <c r="AJ24" s="62"/>
      <c r="AK24" s="24"/>
      <c r="AL24" s="24"/>
      <c r="AM24" s="24"/>
      <c r="AN24" s="62"/>
      <c r="AO24" s="24"/>
      <c r="AP24" s="24"/>
      <c r="AQ24" s="24"/>
      <c r="AR24" s="62"/>
      <c r="AS24" s="24"/>
      <c r="AT24" s="24"/>
      <c r="AU24" s="24"/>
      <c r="AV24" s="62"/>
      <c r="AW24" s="24"/>
      <c r="AX24" s="24"/>
      <c r="AZ24" s="24"/>
      <c r="BA24" s="62"/>
      <c r="BB24" s="24"/>
      <c r="BC24" s="24"/>
      <c r="BD24" s="24"/>
      <c r="BE24" s="22"/>
      <c r="BF24" s="24"/>
      <c r="BG24" s="62"/>
      <c r="BH24" s="24"/>
      <c r="BI24" s="24"/>
      <c r="BJ24" s="24"/>
      <c r="BK24" s="22"/>
      <c r="BL24" s="24"/>
      <c r="BM24" s="62"/>
      <c r="BN24" s="24"/>
      <c r="BO24" s="24"/>
      <c r="BP24" s="24"/>
      <c r="BQ24" s="22"/>
    </row>
    <row r="25" spans="2:69" ht="12.75">
      <c r="B25" s="67">
        <v>1</v>
      </c>
      <c r="C25" s="20">
        <v>1109700</v>
      </c>
      <c r="D25" s="21">
        <f aca="true" t="shared" si="4" ref="D25:D31">D26+C25</f>
        <v>23264200</v>
      </c>
      <c r="E25" s="22">
        <v>-8100</v>
      </c>
      <c r="F25" s="22">
        <f>E25/1.95583</f>
        <v>-4141.46423768937</v>
      </c>
      <c r="G25" s="9">
        <f aca="true" t="shared" si="5" ref="G25:G35">E25*1000/C25</f>
        <v>-7.299270072992701</v>
      </c>
      <c r="H25" s="49">
        <f>G25/1.95583</f>
        <v>-3.732057526979697</v>
      </c>
      <c r="I25" s="24"/>
      <c r="J25" s="24"/>
      <c r="K25" s="24"/>
      <c r="L25" s="62"/>
      <c r="M25" s="24"/>
      <c r="N25" s="24"/>
      <c r="O25" s="24"/>
      <c r="P25" s="62"/>
      <c r="Q25" s="24"/>
      <c r="R25" s="24"/>
      <c r="S25" s="24"/>
      <c r="T25" s="62"/>
      <c r="U25" s="24"/>
      <c r="V25" s="24"/>
      <c r="W25" s="24"/>
      <c r="X25" s="62"/>
      <c r="Y25" s="24"/>
      <c r="Z25" s="24"/>
      <c r="AA25" s="24"/>
      <c r="AB25" s="62"/>
      <c r="AC25" s="24"/>
      <c r="AD25" s="24"/>
      <c r="AE25" s="24"/>
      <c r="AF25" s="62"/>
      <c r="AG25" s="24"/>
      <c r="AH25" s="24"/>
      <c r="AI25" s="24"/>
      <c r="AJ25" s="62"/>
      <c r="AK25" s="24"/>
      <c r="AL25" s="24"/>
      <c r="AM25" s="24"/>
      <c r="AN25" s="62"/>
      <c r="AO25" s="24"/>
      <c r="AP25" s="24"/>
      <c r="AQ25" s="24"/>
      <c r="AR25" s="62"/>
      <c r="AS25" s="24"/>
      <c r="AT25" s="24"/>
      <c r="AU25" s="24"/>
      <c r="AV25" s="62"/>
      <c r="AW25" s="24"/>
      <c r="AX25" s="24"/>
      <c r="AZ25" s="24"/>
      <c r="BA25" s="62"/>
      <c r="BB25" s="24"/>
      <c r="BC25" s="24"/>
      <c r="BD25" s="24"/>
      <c r="BE25" s="22"/>
      <c r="BF25" s="24"/>
      <c r="BG25" s="62"/>
      <c r="BH25" s="24"/>
      <c r="BI25" s="24"/>
      <c r="BJ25" s="24"/>
      <c r="BK25" s="22"/>
      <c r="BL25" s="24"/>
      <c r="BM25" s="62"/>
      <c r="BN25" s="24"/>
      <c r="BO25" s="24"/>
      <c r="BP25" s="24"/>
      <c r="BQ25" s="22"/>
    </row>
    <row r="26" spans="2:69" ht="12.75">
      <c r="B26" s="67">
        <v>25000</v>
      </c>
      <c r="C26" s="20">
        <f>1850700+1548900+2562500+5348500+6435400+2146100+1373800</f>
        <v>21265900</v>
      </c>
      <c r="D26" s="21">
        <f t="shared" si="4"/>
        <v>22154500</v>
      </c>
      <c r="E26" s="22">
        <f>1266900+3555800+10391700+35161400+62844900+29161300+26900700</f>
        <v>169282700</v>
      </c>
      <c r="F26" s="22">
        <f aca="true" t="shared" si="6" ref="F26:F34">E26/1.95583</f>
        <v>86552870.1369751</v>
      </c>
      <c r="G26" s="9">
        <f t="shared" si="5"/>
        <v>7960.288537047574</v>
      </c>
      <c r="H26" s="49">
        <f aca="true" t="shared" si="7" ref="H26:H34">G26/1.95583</f>
        <v>4070.0309009717485</v>
      </c>
      <c r="I26" s="24"/>
      <c r="J26" s="24"/>
      <c r="K26" s="24"/>
      <c r="L26" s="62"/>
      <c r="M26" s="24"/>
      <c r="N26" s="24"/>
      <c r="O26" s="24"/>
      <c r="P26" s="62"/>
      <c r="Q26" s="24"/>
      <c r="R26" s="24"/>
      <c r="S26" s="24"/>
      <c r="T26" s="62"/>
      <c r="U26" s="24"/>
      <c r="V26" s="24"/>
      <c r="W26" s="24"/>
      <c r="X26" s="62"/>
      <c r="Y26" s="24"/>
      <c r="Z26" s="24"/>
      <c r="AA26" s="24"/>
      <c r="AB26" s="62"/>
      <c r="AC26" s="24"/>
      <c r="AD26" s="24"/>
      <c r="AE26" s="24"/>
      <c r="AF26" s="62"/>
      <c r="AG26" s="24"/>
      <c r="AH26" s="24"/>
      <c r="AI26" s="24"/>
      <c r="AJ26" s="62"/>
      <c r="AK26" s="24"/>
      <c r="AL26" s="24"/>
      <c r="AM26" s="24"/>
      <c r="AN26" s="62"/>
      <c r="AO26" s="24"/>
      <c r="AP26" s="24"/>
      <c r="AQ26" s="24"/>
      <c r="AR26" s="62"/>
      <c r="AS26" s="24"/>
      <c r="AT26" s="24"/>
      <c r="AU26" s="24"/>
      <c r="AV26" s="62"/>
      <c r="AW26" s="24"/>
      <c r="AX26" s="24"/>
      <c r="AZ26" s="24"/>
      <c r="BA26" s="62"/>
      <c r="BB26" s="24"/>
      <c r="BC26" s="24"/>
      <c r="BD26" s="24"/>
      <c r="BE26" s="22"/>
      <c r="BF26" s="24"/>
      <c r="BG26" s="62"/>
      <c r="BH26" s="24"/>
      <c r="BI26" s="24"/>
      <c r="BJ26" s="24"/>
      <c r="BK26" s="22"/>
      <c r="BL26" s="24"/>
      <c r="BM26" s="62"/>
      <c r="BN26" s="24"/>
      <c r="BO26" s="24"/>
      <c r="BP26" s="24"/>
      <c r="BQ26" s="22"/>
    </row>
    <row r="27" spans="2:69" ht="12.75">
      <c r="B27" s="67">
        <v>100000</v>
      </c>
      <c r="C27" s="20">
        <f>600000+137400+57800</f>
        <v>795200</v>
      </c>
      <c r="D27" s="21">
        <f t="shared" si="4"/>
        <v>888600</v>
      </c>
      <c r="E27" s="22">
        <f>20184500+8305200+4963900</f>
        <v>33453600</v>
      </c>
      <c r="F27" s="22">
        <f t="shared" si="6"/>
        <v>17104554.076785814</v>
      </c>
      <c r="G27" s="9">
        <f t="shared" si="5"/>
        <v>42069.41649899397</v>
      </c>
      <c r="H27" s="49">
        <f t="shared" si="7"/>
        <v>21509.751102597857</v>
      </c>
      <c r="I27" s="24"/>
      <c r="J27" s="24"/>
      <c r="K27" s="24"/>
      <c r="L27" s="62"/>
      <c r="M27" s="24"/>
      <c r="N27" s="24"/>
      <c r="O27" s="24"/>
      <c r="P27" s="62"/>
      <c r="Q27" s="24"/>
      <c r="R27" s="24"/>
      <c r="S27" s="24"/>
      <c r="T27" s="62"/>
      <c r="U27" s="24"/>
      <c r="V27" s="24"/>
      <c r="W27" s="24"/>
      <c r="X27" s="62"/>
      <c r="Y27" s="24"/>
      <c r="Z27" s="24"/>
      <c r="AA27" s="24"/>
      <c r="AB27" s="62"/>
      <c r="AC27" s="24"/>
      <c r="AD27" s="24"/>
      <c r="AE27" s="24"/>
      <c r="AF27" s="62"/>
      <c r="AG27" s="24"/>
      <c r="AH27" s="24"/>
      <c r="AI27" s="24"/>
      <c r="AJ27" s="62"/>
      <c r="AK27" s="24"/>
      <c r="AL27" s="24"/>
      <c r="AM27" s="24"/>
      <c r="AN27" s="62"/>
      <c r="AO27" s="24"/>
      <c r="AP27" s="24"/>
      <c r="AQ27" s="24"/>
      <c r="AR27" s="62"/>
      <c r="AS27" s="24"/>
      <c r="AT27" s="24"/>
      <c r="AU27" s="24"/>
      <c r="AV27" s="62"/>
      <c r="AW27" s="24"/>
      <c r="AX27" s="24"/>
      <c r="AZ27" s="24"/>
      <c r="BA27" s="62"/>
      <c r="BB27" s="24"/>
      <c r="BC27" s="24"/>
      <c r="BD27" s="24"/>
      <c r="BE27" s="22"/>
      <c r="BF27" s="24"/>
      <c r="BG27" s="62"/>
      <c r="BH27" s="24"/>
      <c r="BI27" s="24"/>
      <c r="BJ27" s="24"/>
      <c r="BK27" s="22"/>
      <c r="BL27" s="24"/>
      <c r="BM27" s="62"/>
      <c r="BN27" s="24"/>
      <c r="BO27" s="24"/>
      <c r="BP27" s="24"/>
      <c r="BQ27" s="22"/>
    </row>
    <row r="28" spans="2:69" ht="12.75">
      <c r="B28" s="67">
        <v>250000</v>
      </c>
      <c r="C28" s="20">
        <v>72200</v>
      </c>
      <c r="D28" s="21">
        <f t="shared" si="4"/>
        <v>93400</v>
      </c>
      <c r="E28" s="22">
        <v>10517900</v>
      </c>
      <c r="F28" s="22">
        <f t="shared" si="6"/>
        <v>5377716.877233706</v>
      </c>
      <c r="G28" s="9">
        <f t="shared" si="5"/>
        <v>145677.28531855956</v>
      </c>
      <c r="H28" s="49">
        <f t="shared" si="7"/>
        <v>74483.61325808457</v>
      </c>
      <c r="I28" s="24"/>
      <c r="J28" s="24"/>
      <c r="K28" s="24"/>
      <c r="L28" s="62"/>
      <c r="M28" s="24"/>
      <c r="N28" s="24"/>
      <c r="O28" s="24"/>
      <c r="P28" s="62"/>
      <c r="Q28" s="24"/>
      <c r="R28" s="24"/>
      <c r="S28" s="24"/>
      <c r="T28" s="62"/>
      <c r="U28" s="24"/>
      <c r="V28" s="24"/>
      <c r="W28" s="24"/>
      <c r="X28" s="62"/>
      <c r="Y28" s="24"/>
      <c r="Z28" s="24"/>
      <c r="AA28" s="24"/>
      <c r="AB28" s="62"/>
      <c r="AC28" s="24"/>
      <c r="AD28" s="24"/>
      <c r="AE28" s="24"/>
      <c r="AF28" s="62"/>
      <c r="AG28" s="24"/>
      <c r="AH28" s="24"/>
      <c r="AI28" s="24"/>
      <c r="AJ28" s="62"/>
      <c r="AK28" s="24"/>
      <c r="AL28" s="24"/>
      <c r="AM28" s="24"/>
      <c r="AN28" s="62"/>
      <c r="AO28" s="24"/>
      <c r="AP28" s="24"/>
      <c r="AQ28" s="24"/>
      <c r="AR28" s="62"/>
      <c r="AS28" s="24"/>
      <c r="AT28" s="24"/>
      <c r="AU28" s="24"/>
      <c r="AV28" s="62"/>
      <c r="AW28" s="24"/>
      <c r="AX28" s="24"/>
      <c r="AZ28" s="24"/>
      <c r="BA28" s="62"/>
      <c r="BB28" s="24"/>
      <c r="BC28" s="24"/>
      <c r="BD28" s="24"/>
      <c r="BE28" s="22"/>
      <c r="BF28" s="24"/>
      <c r="BG28" s="62"/>
      <c r="BH28" s="24"/>
      <c r="BI28" s="24"/>
      <c r="BJ28" s="24"/>
      <c r="BK28" s="22"/>
      <c r="BL28" s="24"/>
      <c r="BM28" s="62"/>
      <c r="BN28" s="24"/>
      <c r="BO28" s="24"/>
      <c r="BP28" s="24"/>
      <c r="BQ28" s="22"/>
    </row>
    <row r="29" spans="2:69" ht="12.75">
      <c r="B29" s="67">
        <v>500000</v>
      </c>
      <c r="C29" s="20">
        <v>13900</v>
      </c>
      <c r="D29" s="21">
        <f t="shared" si="4"/>
        <v>21200</v>
      </c>
      <c r="E29" s="22">
        <v>4704800</v>
      </c>
      <c r="F29" s="22">
        <f t="shared" si="6"/>
        <v>2405526.042651969</v>
      </c>
      <c r="G29" s="9">
        <f t="shared" si="5"/>
        <v>338474.8201438849</v>
      </c>
      <c r="H29" s="49">
        <f t="shared" si="7"/>
        <v>173059.42752891863</v>
      </c>
      <c r="I29" s="24"/>
      <c r="J29" s="24"/>
      <c r="K29" s="24"/>
      <c r="L29" s="62"/>
      <c r="M29" s="24"/>
      <c r="N29" s="24"/>
      <c r="O29" s="24"/>
      <c r="P29" s="62"/>
      <c r="Q29" s="24"/>
      <c r="R29" s="24"/>
      <c r="S29" s="24"/>
      <c r="T29" s="62"/>
      <c r="U29" s="24"/>
      <c r="V29" s="24"/>
      <c r="W29" s="24"/>
      <c r="X29" s="62"/>
      <c r="Y29" s="24"/>
      <c r="Z29" s="24"/>
      <c r="AA29" s="24"/>
      <c r="AB29" s="62"/>
      <c r="AC29" s="24"/>
      <c r="AD29" s="24"/>
      <c r="AE29" s="24"/>
      <c r="AF29" s="62"/>
      <c r="AG29" s="24"/>
      <c r="AH29" s="24"/>
      <c r="AI29" s="24"/>
      <c r="AJ29" s="62"/>
      <c r="AK29" s="24"/>
      <c r="AL29" s="24"/>
      <c r="AM29" s="24"/>
      <c r="AN29" s="62"/>
      <c r="AO29" s="24"/>
      <c r="AP29" s="24"/>
      <c r="AQ29" s="24"/>
      <c r="AR29" s="62"/>
      <c r="AS29" s="24"/>
      <c r="AT29" s="24"/>
      <c r="AU29" s="24"/>
      <c r="AV29" s="62"/>
      <c r="AW29" s="24"/>
      <c r="AX29" s="24"/>
      <c r="AZ29" s="24"/>
      <c r="BA29" s="62"/>
      <c r="BB29" s="24"/>
      <c r="BC29" s="24"/>
      <c r="BD29" s="24"/>
      <c r="BE29" s="22"/>
      <c r="BF29" s="24"/>
      <c r="BG29" s="62"/>
      <c r="BH29" s="24"/>
      <c r="BI29" s="24"/>
      <c r="BJ29" s="24"/>
      <c r="BK29" s="22"/>
      <c r="BL29" s="24"/>
      <c r="BM29" s="62"/>
      <c r="BN29" s="24"/>
      <c r="BO29" s="24"/>
      <c r="BP29" s="24"/>
      <c r="BQ29" s="22"/>
    </row>
    <row r="30" spans="2:69" ht="12.75">
      <c r="B30" s="67">
        <v>1000000</v>
      </c>
      <c r="C30" s="20">
        <v>4900</v>
      </c>
      <c r="D30" s="21">
        <f t="shared" si="4"/>
        <v>7300</v>
      </c>
      <c r="E30" s="22">
        <v>3308800</v>
      </c>
      <c r="F30" s="22">
        <f t="shared" si="6"/>
        <v>1691762.5765020477</v>
      </c>
      <c r="G30" s="9">
        <f t="shared" si="5"/>
        <v>675265.306122449</v>
      </c>
      <c r="H30" s="49">
        <f t="shared" si="7"/>
        <v>345257.6686738873</v>
      </c>
      <c r="I30" s="24"/>
      <c r="J30" s="24"/>
      <c r="K30" s="24"/>
      <c r="L30" s="62"/>
      <c r="M30" s="24"/>
      <c r="N30" s="24"/>
      <c r="O30" s="24"/>
      <c r="P30" s="62"/>
      <c r="Q30" s="24"/>
      <c r="R30" s="24"/>
      <c r="S30" s="24"/>
      <c r="T30" s="62"/>
      <c r="U30" s="24"/>
      <c r="V30" s="24"/>
      <c r="W30" s="24"/>
      <c r="X30" s="62"/>
      <c r="Y30" s="24"/>
      <c r="Z30" s="24"/>
      <c r="AA30" s="24"/>
      <c r="AB30" s="62"/>
      <c r="AC30" s="24"/>
      <c r="AD30" s="24"/>
      <c r="AE30" s="24"/>
      <c r="AF30" s="62"/>
      <c r="AG30" s="24"/>
      <c r="AH30" s="24"/>
      <c r="AI30" s="24"/>
      <c r="AJ30" s="62"/>
      <c r="AK30" s="24"/>
      <c r="AL30" s="24"/>
      <c r="AM30" s="24"/>
      <c r="AN30" s="62"/>
      <c r="AO30" s="24"/>
      <c r="AP30" s="24"/>
      <c r="AQ30" s="24"/>
      <c r="AR30" s="62"/>
      <c r="AS30" s="24"/>
      <c r="AT30" s="24"/>
      <c r="AU30" s="24"/>
      <c r="AV30" s="62"/>
      <c r="AW30" s="24"/>
      <c r="AX30" s="24"/>
      <c r="AZ30" s="24"/>
      <c r="BA30" s="62"/>
      <c r="BB30" s="24"/>
      <c r="BC30" s="24"/>
      <c r="BD30" s="24"/>
      <c r="BE30" s="22"/>
      <c r="BF30" s="24"/>
      <c r="BG30" s="62"/>
      <c r="BH30" s="24"/>
      <c r="BI30" s="24"/>
      <c r="BJ30" s="24"/>
      <c r="BK30" s="22"/>
      <c r="BL30" s="24"/>
      <c r="BM30" s="62"/>
      <c r="BN30" s="24"/>
      <c r="BO30" s="24"/>
      <c r="BP30" s="24"/>
      <c r="BQ30" s="22"/>
    </row>
    <row r="31" spans="2:69" ht="12.75">
      <c r="B31" s="67">
        <v>2000000</v>
      </c>
      <c r="C31" s="20">
        <v>2400</v>
      </c>
      <c r="D31" s="21">
        <f t="shared" si="4"/>
        <v>2400</v>
      </c>
      <c r="E31" s="22">
        <v>5406400</v>
      </c>
      <c r="F31" s="22">
        <f t="shared" si="6"/>
        <v>2764248.426499236</v>
      </c>
      <c r="G31" s="9">
        <f t="shared" si="5"/>
        <v>2252666.6666666665</v>
      </c>
      <c r="H31" s="49">
        <f t="shared" si="7"/>
        <v>1151770.1777080148</v>
      </c>
      <c r="I31" s="24"/>
      <c r="J31" s="24"/>
      <c r="K31" s="24"/>
      <c r="L31" s="62"/>
      <c r="M31" s="24"/>
      <c r="N31" s="24"/>
      <c r="O31" s="24"/>
      <c r="P31" s="62"/>
      <c r="Q31" s="24"/>
      <c r="R31" s="24"/>
      <c r="S31" s="24"/>
      <c r="T31" s="62"/>
      <c r="U31" s="24"/>
      <c r="V31" s="24"/>
      <c r="W31" s="24"/>
      <c r="X31" s="62"/>
      <c r="Y31" s="24"/>
      <c r="Z31" s="24"/>
      <c r="AA31" s="24"/>
      <c r="AB31" s="62"/>
      <c r="AC31" s="24"/>
      <c r="AD31" s="24"/>
      <c r="AE31" s="24"/>
      <c r="AF31" s="62"/>
      <c r="AG31" s="24"/>
      <c r="AH31" s="24"/>
      <c r="AI31" s="24"/>
      <c r="AJ31" s="62"/>
      <c r="AK31" s="24"/>
      <c r="AL31" s="24"/>
      <c r="AM31" s="24"/>
      <c r="AN31" s="62"/>
      <c r="AO31" s="24"/>
      <c r="AP31" s="24"/>
      <c r="AQ31" s="24"/>
      <c r="AR31" s="62"/>
      <c r="AS31" s="24"/>
      <c r="AT31" s="24"/>
      <c r="AU31" s="24"/>
      <c r="AV31" s="62"/>
      <c r="AW31" s="24"/>
      <c r="AX31" s="24"/>
      <c r="AZ31" s="24"/>
      <c r="BA31" s="62"/>
      <c r="BB31" s="24"/>
      <c r="BC31" s="24"/>
      <c r="BD31" s="24"/>
      <c r="BE31" s="22"/>
      <c r="BF31" s="24"/>
      <c r="BG31" s="62"/>
      <c r="BH31" s="24"/>
      <c r="BI31" s="24"/>
      <c r="BJ31" s="24"/>
      <c r="BK31" s="22"/>
      <c r="BL31" s="24"/>
      <c r="BM31" s="62"/>
      <c r="BN31" s="24"/>
      <c r="BO31" s="24"/>
      <c r="BP31" s="24"/>
      <c r="BQ31" s="22"/>
    </row>
    <row r="32" spans="2:69" ht="12.75">
      <c r="B32" s="67">
        <v>5000000</v>
      </c>
      <c r="C32" s="20"/>
      <c r="D32" s="21">
        <f>D33+C32</f>
        <v>0</v>
      </c>
      <c r="E32" s="22"/>
      <c r="F32" s="22">
        <f t="shared" si="6"/>
        <v>0</v>
      </c>
      <c r="G32" s="9"/>
      <c r="H32" s="49">
        <f t="shared" si="7"/>
        <v>0</v>
      </c>
      <c r="I32" s="24"/>
      <c r="J32" s="24"/>
      <c r="K32" s="24"/>
      <c r="L32" s="62"/>
      <c r="M32" s="24"/>
      <c r="N32" s="24"/>
      <c r="O32" s="24"/>
      <c r="P32" s="62"/>
      <c r="Q32" s="24"/>
      <c r="R32" s="24"/>
      <c r="S32" s="24"/>
      <c r="T32" s="62"/>
      <c r="U32" s="24"/>
      <c r="V32" s="24"/>
      <c r="W32" s="24"/>
      <c r="X32" s="62"/>
      <c r="Y32" s="24"/>
      <c r="Z32" s="24"/>
      <c r="AA32" s="24"/>
      <c r="AB32" s="62"/>
      <c r="AC32" s="24"/>
      <c r="AD32" s="24"/>
      <c r="AE32" s="24"/>
      <c r="AF32" s="62"/>
      <c r="AG32" s="24"/>
      <c r="AH32" s="24"/>
      <c r="AI32" s="24"/>
      <c r="AJ32" s="62"/>
      <c r="AK32" s="24"/>
      <c r="AL32" s="24"/>
      <c r="AM32" s="24"/>
      <c r="AN32" s="62"/>
      <c r="AO32" s="24"/>
      <c r="AP32" s="24"/>
      <c r="AQ32" s="24"/>
      <c r="AR32" s="62"/>
      <c r="AS32" s="24"/>
      <c r="AT32" s="24"/>
      <c r="AU32" s="24"/>
      <c r="AV32" s="62"/>
      <c r="AW32" s="24"/>
      <c r="AX32" s="24"/>
      <c r="AZ32" s="24"/>
      <c r="BA32" s="62"/>
      <c r="BB32" s="24"/>
      <c r="BC32" s="24"/>
      <c r="BD32" s="24"/>
      <c r="BE32" s="22"/>
      <c r="BF32" s="24"/>
      <c r="BG32" s="62"/>
      <c r="BH32" s="24"/>
      <c r="BI32" s="24"/>
      <c r="BJ32" s="24"/>
      <c r="BK32" s="22"/>
      <c r="BL32" s="24"/>
      <c r="BM32" s="62"/>
      <c r="BN32" s="24"/>
      <c r="BO32" s="24"/>
      <c r="BP32" s="24"/>
      <c r="BQ32" s="22"/>
    </row>
    <row r="33" spans="2:69" ht="12.75">
      <c r="B33" s="67">
        <v>10000000</v>
      </c>
      <c r="C33" s="20"/>
      <c r="D33" s="24">
        <f>D34+C33</f>
        <v>0</v>
      </c>
      <c r="E33" s="22"/>
      <c r="F33" s="22">
        <f t="shared" si="6"/>
        <v>0</v>
      </c>
      <c r="G33" s="9"/>
      <c r="H33" s="49">
        <f t="shared" si="7"/>
        <v>0</v>
      </c>
      <c r="I33" s="24"/>
      <c r="J33" s="24"/>
      <c r="K33" s="24"/>
      <c r="L33" s="62"/>
      <c r="M33" s="24"/>
      <c r="N33" s="24"/>
      <c r="O33" s="24"/>
      <c r="P33" s="62"/>
      <c r="Q33" s="24"/>
      <c r="R33" s="24"/>
      <c r="S33" s="24"/>
      <c r="T33" s="62"/>
      <c r="U33" s="24"/>
      <c r="V33" s="24"/>
      <c r="W33" s="24"/>
      <c r="X33" s="62"/>
      <c r="Y33" s="24"/>
      <c r="Z33" s="24"/>
      <c r="AA33" s="24"/>
      <c r="AB33" s="62"/>
      <c r="AC33" s="24"/>
      <c r="AD33" s="24"/>
      <c r="AE33" s="24"/>
      <c r="AF33" s="62"/>
      <c r="AG33" s="24"/>
      <c r="AH33" s="24"/>
      <c r="AI33" s="24"/>
      <c r="AJ33" s="62"/>
      <c r="AK33" s="24"/>
      <c r="AL33" s="24"/>
      <c r="AM33" s="24"/>
      <c r="AN33" s="62"/>
      <c r="AO33" s="24"/>
      <c r="AP33" s="24"/>
      <c r="AQ33" s="24"/>
      <c r="AR33" s="62"/>
      <c r="AS33" s="24"/>
      <c r="AT33" s="24"/>
      <c r="AU33" s="24"/>
      <c r="AV33" s="62"/>
      <c r="AW33" s="24"/>
      <c r="AX33" s="24"/>
      <c r="AZ33" s="24"/>
      <c r="BA33" s="62"/>
      <c r="BB33" s="24"/>
      <c r="BC33" s="24"/>
      <c r="BD33" s="24"/>
      <c r="BE33" s="22"/>
      <c r="BF33" s="24"/>
      <c r="BG33" s="62"/>
      <c r="BH33" s="24"/>
      <c r="BI33" s="24"/>
      <c r="BJ33" s="24"/>
      <c r="BK33" s="22"/>
      <c r="BL33" s="24"/>
      <c r="BM33" s="62"/>
      <c r="BN33" s="24"/>
      <c r="BO33" s="24"/>
      <c r="BP33" s="24"/>
      <c r="BQ33" s="22"/>
    </row>
    <row r="34" spans="2:69" ht="12.75">
      <c r="B34" s="29" t="s">
        <v>1</v>
      </c>
      <c r="C34" s="20"/>
      <c r="D34" s="24">
        <f>D35+C34</f>
        <v>0</v>
      </c>
      <c r="E34" s="22"/>
      <c r="F34" s="22">
        <f t="shared" si="6"/>
        <v>0</v>
      </c>
      <c r="G34" s="9"/>
      <c r="H34" s="49">
        <f t="shared" si="7"/>
        <v>0</v>
      </c>
      <c r="I34" s="24"/>
      <c r="J34" s="24"/>
      <c r="K34" s="24"/>
      <c r="L34" s="62"/>
      <c r="M34" s="24"/>
      <c r="N34" s="24"/>
      <c r="O34" s="24"/>
      <c r="P34" s="62"/>
      <c r="Q34" s="24"/>
      <c r="R34" s="24"/>
      <c r="S34" s="24"/>
      <c r="T34" s="62"/>
      <c r="U34" s="24"/>
      <c r="V34" s="24"/>
      <c r="W34" s="24"/>
      <c r="X34" s="62"/>
      <c r="Y34" s="24"/>
      <c r="Z34" s="24"/>
      <c r="AA34" s="24"/>
      <c r="AB34" s="62"/>
      <c r="AC34" s="24"/>
      <c r="AD34" s="24"/>
      <c r="AE34" s="24"/>
      <c r="AF34" s="62"/>
      <c r="AG34" s="24"/>
      <c r="AH34" s="24"/>
      <c r="AI34" s="24"/>
      <c r="AJ34" s="62"/>
      <c r="AK34" s="24"/>
      <c r="AL34" s="24"/>
      <c r="AM34" s="24"/>
      <c r="AN34" s="62"/>
      <c r="AO34" s="24"/>
      <c r="AP34" s="24"/>
      <c r="AQ34" s="24"/>
      <c r="AR34" s="62"/>
      <c r="AS34" s="24"/>
      <c r="AT34" s="24"/>
      <c r="AU34" s="24"/>
      <c r="AV34" s="62"/>
      <c r="AW34" s="24"/>
      <c r="AX34" s="24"/>
      <c r="AZ34" s="24"/>
      <c r="BA34" s="62"/>
      <c r="BB34" s="24"/>
      <c r="BC34" s="24"/>
      <c r="BD34" s="24"/>
      <c r="BE34" s="22"/>
      <c r="BF34" s="24"/>
      <c r="BG34" s="62"/>
      <c r="BH34" s="24"/>
      <c r="BI34" s="24"/>
      <c r="BJ34" s="24"/>
      <c r="BK34" s="22"/>
      <c r="BL34" s="24"/>
      <c r="BM34" s="62"/>
      <c r="BN34" s="24"/>
      <c r="BO34" s="24"/>
      <c r="BP34" s="24"/>
      <c r="BQ34" s="22"/>
    </row>
    <row r="35" spans="2:69" ht="12.75">
      <c r="B35" s="29" t="s">
        <v>2</v>
      </c>
      <c r="C35" s="20">
        <f>SUM(C25:C34)</f>
        <v>23264200</v>
      </c>
      <c r="D35" s="24"/>
      <c r="E35" s="22">
        <f>SUM(E25:E34)</f>
        <v>226666100</v>
      </c>
      <c r="F35" s="22">
        <f>SUM(F25:F34)</f>
        <v>115892536.67241019</v>
      </c>
      <c r="G35" s="9">
        <f t="shared" si="5"/>
        <v>9743.128927708669</v>
      </c>
      <c r="H35" s="19"/>
      <c r="I35" s="24"/>
      <c r="J35" s="24"/>
      <c r="K35" s="24"/>
      <c r="L35" s="62"/>
      <c r="M35" s="24"/>
      <c r="N35" s="24"/>
      <c r="O35" s="24"/>
      <c r="P35" s="62"/>
      <c r="Q35" s="24"/>
      <c r="R35" s="24"/>
      <c r="S35" s="24"/>
      <c r="T35" s="62"/>
      <c r="U35" s="24"/>
      <c r="V35" s="24"/>
      <c r="W35" s="24"/>
      <c r="X35" s="62"/>
      <c r="Y35" s="24"/>
      <c r="Z35" s="24"/>
      <c r="AA35" s="24"/>
      <c r="AB35" s="62"/>
      <c r="AC35" s="24"/>
      <c r="AD35" s="24"/>
      <c r="AE35" s="24"/>
      <c r="AF35" s="62"/>
      <c r="AG35" s="24"/>
      <c r="AH35" s="24"/>
      <c r="AI35" s="24"/>
      <c r="AJ35" s="62"/>
      <c r="AK35" s="24"/>
      <c r="AL35" s="24"/>
      <c r="AM35" s="24"/>
      <c r="AN35" s="62"/>
      <c r="AO35" s="24"/>
      <c r="AP35" s="24"/>
      <c r="AQ35" s="24"/>
      <c r="AR35" s="62"/>
      <c r="AS35" s="24"/>
      <c r="AT35" s="24"/>
      <c r="AU35" s="24"/>
      <c r="AV35" s="62"/>
      <c r="AW35" s="24"/>
      <c r="AX35" s="24"/>
      <c r="AZ35" s="24"/>
      <c r="BA35" s="62"/>
      <c r="BB35" s="24"/>
      <c r="BC35" s="24"/>
      <c r="BD35" s="24"/>
      <c r="BE35" s="22"/>
      <c r="BF35" s="24"/>
      <c r="BG35" s="62"/>
      <c r="BH35" s="24"/>
      <c r="BI35" s="24"/>
      <c r="BJ35" s="24"/>
      <c r="BK35" s="22"/>
      <c r="BL35" s="24"/>
      <c r="BM35" s="62"/>
      <c r="BN35" s="24"/>
      <c r="BO35" s="24"/>
      <c r="BP35" s="24"/>
      <c r="BQ35" s="22"/>
    </row>
    <row r="36" spans="2:69" ht="12.75">
      <c r="B36" s="24"/>
      <c r="C36" s="25"/>
      <c r="D36" s="9"/>
      <c r="E36" s="9"/>
      <c r="F36" s="6"/>
      <c r="G36" s="6"/>
      <c r="H36" s="19"/>
      <c r="I36" s="24"/>
      <c r="J36" s="24"/>
      <c r="K36" s="24"/>
      <c r="L36" s="62"/>
      <c r="M36" s="24"/>
      <c r="N36" s="24"/>
      <c r="O36" s="24"/>
      <c r="P36" s="62"/>
      <c r="Q36" s="24"/>
      <c r="R36" s="24"/>
      <c r="S36" s="24"/>
      <c r="T36" s="62"/>
      <c r="U36" s="24"/>
      <c r="V36" s="24"/>
      <c r="W36" s="24"/>
      <c r="X36" s="62"/>
      <c r="Y36" s="24"/>
      <c r="Z36" s="24"/>
      <c r="AA36" s="24"/>
      <c r="AB36" s="62"/>
      <c r="AC36" s="24"/>
      <c r="AD36" s="24"/>
      <c r="AE36" s="24"/>
      <c r="AF36" s="62"/>
      <c r="AG36" s="24"/>
      <c r="AH36" s="24"/>
      <c r="AI36" s="24"/>
      <c r="AJ36" s="62"/>
      <c r="AK36" s="24"/>
      <c r="AL36" s="24"/>
      <c r="AM36" s="24"/>
      <c r="AN36" s="62"/>
      <c r="AO36" s="24"/>
      <c r="AP36" s="24"/>
      <c r="AQ36" s="24"/>
      <c r="AR36" s="62"/>
      <c r="AS36" s="24"/>
      <c r="AT36" s="24"/>
      <c r="AU36" s="24"/>
      <c r="AV36" s="62"/>
      <c r="AW36" s="24"/>
      <c r="AX36" s="24"/>
      <c r="AZ36" s="24"/>
      <c r="BA36" s="62"/>
      <c r="BB36" s="24"/>
      <c r="BC36" s="24"/>
      <c r="BD36" s="24"/>
      <c r="BE36" s="22"/>
      <c r="BF36" s="24"/>
      <c r="BG36" s="62"/>
      <c r="BH36" s="24"/>
      <c r="BI36" s="24"/>
      <c r="BJ36" s="24"/>
      <c r="BK36" s="22"/>
      <c r="BL36" s="24"/>
      <c r="BM36" s="62"/>
      <c r="BN36" s="24"/>
      <c r="BO36" s="24"/>
      <c r="BP36" s="24"/>
      <c r="BQ36" s="22"/>
    </row>
    <row r="37" spans="2:69" ht="12.75">
      <c r="B37" s="24"/>
      <c r="C37" s="20">
        <v>1000</v>
      </c>
      <c r="D37" s="24"/>
      <c r="E37" s="32">
        <f>E34+E33+E32+E31/C31*(C31-D31+1000)</f>
        <v>2252666.6666666665</v>
      </c>
      <c r="F37" s="22">
        <f>E37/1.95583</f>
        <v>1151770.1777080148</v>
      </c>
      <c r="G37" s="24">
        <f>E37*1000/C37</f>
        <v>2252666.6666666665</v>
      </c>
      <c r="H37" s="49">
        <f>G37/1.95583</f>
        <v>1151770.1777080148</v>
      </c>
      <c r="I37" s="24"/>
      <c r="J37" s="24"/>
      <c r="K37" s="24"/>
      <c r="L37" s="62"/>
      <c r="M37" s="24"/>
      <c r="N37" s="24"/>
      <c r="O37" s="24"/>
      <c r="P37" s="62"/>
      <c r="Q37" s="24"/>
      <c r="R37" s="24"/>
      <c r="S37" s="24"/>
      <c r="T37" s="62"/>
      <c r="U37" s="24"/>
      <c r="V37" s="24"/>
      <c r="W37" s="24"/>
      <c r="X37" s="62"/>
      <c r="Y37" s="24"/>
      <c r="Z37" s="24"/>
      <c r="AA37" s="24"/>
      <c r="AB37" s="62"/>
      <c r="AC37" s="24"/>
      <c r="AD37" s="24"/>
      <c r="AE37" s="24"/>
      <c r="AF37" s="62"/>
      <c r="AG37" s="24"/>
      <c r="AH37" s="24"/>
      <c r="AI37" s="24"/>
      <c r="AJ37" s="62"/>
      <c r="AK37" s="24"/>
      <c r="AL37" s="24"/>
      <c r="AM37" s="24"/>
      <c r="AN37" s="62"/>
      <c r="AO37" s="24"/>
      <c r="AP37" s="24"/>
      <c r="AQ37" s="24"/>
      <c r="AR37" s="62"/>
      <c r="AS37" s="24"/>
      <c r="AT37" s="24"/>
      <c r="AU37" s="24"/>
      <c r="AV37" s="62"/>
      <c r="AW37" s="24"/>
      <c r="AX37" s="24"/>
      <c r="AZ37" s="24"/>
      <c r="BA37" s="62"/>
      <c r="BB37" s="24"/>
      <c r="BC37" s="24"/>
      <c r="BD37" s="24"/>
      <c r="BE37" s="22"/>
      <c r="BF37" s="24"/>
      <c r="BG37" s="62"/>
      <c r="BH37" s="24"/>
      <c r="BI37" s="24"/>
      <c r="BJ37" s="24"/>
      <c r="BK37" s="22"/>
      <c r="BL37" s="24"/>
      <c r="BM37" s="62"/>
      <c r="BN37" s="24"/>
      <c r="BO37" s="24"/>
      <c r="BP37" s="24"/>
      <c r="BQ37" s="22"/>
    </row>
    <row r="38" spans="2:69" ht="12.75">
      <c r="B38" s="24"/>
      <c r="C38" s="20">
        <v>10000</v>
      </c>
      <c r="D38" s="24"/>
      <c r="E38" s="24">
        <f>SUM(E$30:E$34)+E$29/C$29*(C$29-D$29+11000)-E$37</f>
        <v>7714890.1678657085</v>
      </c>
      <c r="F38" s="22">
        <f>E38/1.95583</f>
        <v>3944560.707150268</v>
      </c>
      <c r="G38" s="24">
        <f>E38*1000/C38</f>
        <v>771489.0167865708</v>
      </c>
      <c r="H38" s="49">
        <f>G38/1.95583</f>
        <v>394456.07071502676</v>
      </c>
      <c r="I38" s="24"/>
      <c r="J38" s="24"/>
      <c r="K38" s="24"/>
      <c r="L38" s="62"/>
      <c r="M38" s="24"/>
      <c r="N38" s="24"/>
      <c r="O38" s="24"/>
      <c r="P38" s="62"/>
      <c r="Q38" s="24"/>
      <c r="R38" s="24"/>
      <c r="S38" s="24"/>
      <c r="T38" s="62"/>
      <c r="U38" s="24"/>
      <c r="V38" s="24"/>
      <c r="W38" s="24"/>
      <c r="X38" s="62"/>
      <c r="Y38" s="24"/>
      <c r="Z38" s="24"/>
      <c r="AA38" s="24"/>
      <c r="AB38" s="62"/>
      <c r="AC38" s="24"/>
      <c r="AD38" s="24"/>
      <c r="AE38" s="24"/>
      <c r="AF38" s="62"/>
      <c r="AG38" s="24"/>
      <c r="AH38" s="24"/>
      <c r="AI38" s="24"/>
      <c r="AJ38" s="62"/>
      <c r="AK38" s="24"/>
      <c r="AL38" s="24"/>
      <c r="AM38" s="24"/>
      <c r="AN38" s="62"/>
      <c r="AO38" s="24"/>
      <c r="AP38" s="24"/>
      <c r="AQ38" s="24"/>
      <c r="AR38" s="62"/>
      <c r="AS38" s="24"/>
      <c r="AT38" s="24"/>
      <c r="AU38" s="24"/>
      <c r="AV38" s="62"/>
      <c r="AW38" s="24"/>
      <c r="AX38" s="24"/>
      <c r="AZ38" s="24"/>
      <c r="BA38" s="62"/>
      <c r="BB38" s="24"/>
      <c r="BC38" s="24"/>
      <c r="BD38" s="24"/>
      <c r="BE38" s="22"/>
      <c r="BF38" s="24"/>
      <c r="BG38" s="62"/>
      <c r="BH38" s="24"/>
      <c r="BI38" s="24"/>
      <c r="BJ38" s="24"/>
      <c r="BK38" s="22"/>
      <c r="BL38" s="24"/>
      <c r="BM38" s="62"/>
      <c r="BN38" s="24"/>
      <c r="BO38" s="24"/>
      <c r="BP38" s="24"/>
      <c r="BQ38" s="22"/>
    </row>
    <row r="39" spans="2:69" ht="12.75">
      <c r="B39" s="24"/>
      <c r="C39" s="20">
        <v>100000</v>
      </c>
      <c r="D39" s="24"/>
      <c r="E39" s="24">
        <f>SUM(E$28:E$34)+E$27/C$27*(C$27-D$27+111000)-E$37-E$38</f>
        <v>14710764.895849917</v>
      </c>
      <c r="F39" s="22">
        <f>E39/1.95583</f>
        <v>7521494.657434397</v>
      </c>
      <c r="G39" s="24">
        <f>E39*1000/C39</f>
        <v>147107.64895849917</v>
      </c>
      <c r="H39" s="49">
        <f>G39/1.95583</f>
        <v>75214.94657434397</v>
      </c>
      <c r="I39" s="24"/>
      <c r="J39" s="24"/>
      <c r="K39" s="24"/>
      <c r="L39" s="62"/>
      <c r="M39" s="24"/>
      <c r="N39" s="24"/>
      <c r="O39" s="24"/>
      <c r="P39" s="62"/>
      <c r="Q39" s="24"/>
      <c r="R39" s="24"/>
      <c r="S39" s="24"/>
      <c r="T39" s="62"/>
      <c r="U39" s="24"/>
      <c r="V39" s="24"/>
      <c r="W39" s="24"/>
      <c r="X39" s="62"/>
      <c r="Y39" s="24"/>
      <c r="Z39" s="24"/>
      <c r="AA39" s="24"/>
      <c r="AB39" s="62"/>
      <c r="AC39" s="24"/>
      <c r="AD39" s="24"/>
      <c r="AE39" s="24"/>
      <c r="AF39" s="62"/>
      <c r="AG39" s="24"/>
      <c r="AH39" s="24"/>
      <c r="AI39" s="24"/>
      <c r="AJ39" s="62"/>
      <c r="AK39" s="24"/>
      <c r="AL39" s="24"/>
      <c r="AM39" s="24"/>
      <c r="AN39" s="62"/>
      <c r="AO39" s="24"/>
      <c r="AP39" s="24"/>
      <c r="AQ39" s="24"/>
      <c r="AR39" s="62"/>
      <c r="AS39" s="24"/>
      <c r="AT39" s="24"/>
      <c r="AU39" s="24"/>
      <c r="AV39" s="62"/>
      <c r="AW39" s="24"/>
      <c r="AX39" s="24"/>
      <c r="AZ39" s="24"/>
      <c r="BA39" s="62"/>
      <c r="BB39" s="24"/>
      <c r="BC39" s="24"/>
      <c r="BD39" s="24"/>
      <c r="BE39" s="22"/>
      <c r="BF39" s="24"/>
      <c r="BG39" s="62"/>
      <c r="BH39" s="24"/>
      <c r="BI39" s="24"/>
      <c r="BJ39" s="24"/>
      <c r="BK39" s="22"/>
      <c r="BL39" s="24"/>
      <c r="BM39" s="62"/>
      <c r="BN39" s="24"/>
      <c r="BO39" s="24"/>
      <c r="BP39" s="24"/>
      <c r="BQ39" s="22"/>
    </row>
    <row r="40" spans="2:69" ht="12.75">
      <c r="B40" s="24"/>
      <c r="C40" s="20">
        <v>1000000</v>
      </c>
      <c r="D40" s="24"/>
      <c r="E40" s="24">
        <f>SUM(E$27:E$34)+E$26/C$26*(C$26-D$26+1111000)-E$37-E$38-E$39</f>
        <v>34483546.44025709</v>
      </c>
      <c r="F40" s="22">
        <f>E40/1.95583</f>
        <v>17631157.32975621</v>
      </c>
      <c r="G40" s="24">
        <f>E40*1000/C40</f>
        <v>34483.54644025709</v>
      </c>
      <c r="H40" s="49">
        <f>G40/1.95583</f>
        <v>17631.15732975621</v>
      </c>
      <c r="I40" s="24"/>
      <c r="J40" s="24"/>
      <c r="K40" s="24"/>
      <c r="L40" s="62"/>
      <c r="M40" s="24"/>
      <c r="N40" s="24"/>
      <c r="O40" s="24"/>
      <c r="P40" s="62"/>
      <c r="Q40" s="24"/>
      <c r="R40" s="24"/>
      <c r="S40" s="24"/>
      <c r="T40" s="62"/>
      <c r="U40" s="24"/>
      <c r="V40" s="24"/>
      <c r="W40" s="24"/>
      <c r="X40" s="62"/>
      <c r="Y40" s="24"/>
      <c r="Z40" s="24"/>
      <c r="AA40" s="24"/>
      <c r="AB40" s="62"/>
      <c r="AC40" s="24"/>
      <c r="AD40" s="24"/>
      <c r="AE40" s="24"/>
      <c r="AF40" s="62"/>
      <c r="AG40" s="24"/>
      <c r="AH40" s="24"/>
      <c r="AI40" s="24"/>
      <c r="AJ40" s="62"/>
      <c r="AK40" s="24"/>
      <c r="AL40" s="24"/>
      <c r="AM40" s="24"/>
      <c r="AN40" s="62"/>
      <c r="AO40" s="24"/>
      <c r="AP40" s="24"/>
      <c r="AQ40" s="24"/>
      <c r="AR40" s="62"/>
      <c r="AS40" s="24"/>
      <c r="AT40" s="24"/>
      <c r="AU40" s="24"/>
      <c r="AV40" s="62"/>
      <c r="AW40" s="24"/>
      <c r="AX40" s="24"/>
      <c r="AZ40" s="24"/>
      <c r="BA40" s="62"/>
      <c r="BB40" s="24"/>
      <c r="BC40" s="24"/>
      <c r="BD40" s="24"/>
      <c r="BE40" s="22"/>
      <c r="BF40" s="24"/>
      <c r="BG40" s="62"/>
      <c r="BH40" s="24"/>
      <c r="BI40" s="24"/>
      <c r="BJ40" s="24"/>
      <c r="BK40" s="22"/>
      <c r="BL40" s="24"/>
      <c r="BM40" s="62"/>
      <c r="BN40" s="24"/>
      <c r="BO40" s="24"/>
      <c r="BP40" s="24"/>
      <c r="BQ40" s="22"/>
    </row>
    <row r="41" spans="2:69" ht="12.75">
      <c r="B41" s="24"/>
      <c r="C41" s="26">
        <f>C35-SUM(C37:C40)</f>
        <v>22153200</v>
      </c>
      <c r="D41" s="46">
        <f>C41/C35</f>
        <v>0.9522442207340033</v>
      </c>
      <c r="E41" s="27">
        <f>E35-SUM(E37:E40)</f>
        <v>167504231.8293606</v>
      </c>
      <c r="F41" s="66">
        <f>E41/1.95583</f>
        <v>85643553.80036128</v>
      </c>
      <c r="G41" s="27">
        <f>E41*1000/C41</f>
        <v>7561.175443247955</v>
      </c>
      <c r="H41" s="50">
        <f>G41/1.95583</f>
        <v>3865.967616432898</v>
      </c>
      <c r="I41" s="24"/>
      <c r="J41" s="24"/>
      <c r="K41" s="24"/>
      <c r="L41" s="62"/>
      <c r="M41" s="24"/>
      <c r="N41" s="24"/>
      <c r="O41" s="24"/>
      <c r="P41" s="62"/>
      <c r="Q41" s="24"/>
      <c r="R41" s="24"/>
      <c r="S41" s="24"/>
      <c r="T41" s="62"/>
      <c r="U41" s="24"/>
      <c r="V41" s="24"/>
      <c r="W41" s="24"/>
      <c r="X41" s="62"/>
      <c r="Y41" s="24"/>
      <c r="Z41" s="24"/>
      <c r="AA41" s="24"/>
      <c r="AB41" s="62"/>
      <c r="AC41" s="24"/>
      <c r="AD41" s="24"/>
      <c r="AE41" s="24"/>
      <c r="AF41" s="62"/>
      <c r="AG41" s="24"/>
      <c r="AH41" s="24"/>
      <c r="AI41" s="24"/>
      <c r="AJ41" s="62"/>
      <c r="AK41" s="24"/>
      <c r="AL41" s="24"/>
      <c r="AM41" s="24"/>
      <c r="AN41" s="62"/>
      <c r="AO41" s="24"/>
      <c r="AP41" s="24"/>
      <c r="AQ41" s="24"/>
      <c r="AR41" s="62"/>
      <c r="AS41" s="24"/>
      <c r="AT41" s="24"/>
      <c r="AU41" s="24"/>
      <c r="AV41" s="62"/>
      <c r="AW41" s="24"/>
      <c r="AX41" s="24"/>
      <c r="AZ41" s="24"/>
      <c r="BA41" s="62"/>
      <c r="BB41" s="24"/>
      <c r="BC41" s="24"/>
      <c r="BD41" s="24"/>
      <c r="BE41" s="22"/>
      <c r="BF41" s="24"/>
      <c r="BG41" s="62"/>
      <c r="BH41" s="24"/>
      <c r="BI41" s="24"/>
      <c r="BJ41" s="24"/>
      <c r="BK41" s="22"/>
      <c r="BL41" s="24"/>
      <c r="BM41" s="62"/>
      <c r="BN41" s="24"/>
      <c r="BO41" s="24"/>
      <c r="BP41" s="24"/>
      <c r="BQ41" s="22"/>
    </row>
    <row r="42" spans="2:68" ht="12.75">
      <c r="B42" s="24"/>
      <c r="C42" s="62"/>
      <c r="D42" s="24"/>
      <c r="E42" s="24"/>
      <c r="F42" s="24"/>
      <c r="G42" s="62"/>
      <c r="H42" s="24"/>
      <c r="I42" s="24"/>
      <c r="J42" s="24"/>
      <c r="K42" s="62"/>
      <c r="L42" s="24"/>
      <c r="M42" s="24"/>
      <c r="N42" s="24"/>
      <c r="O42" s="62"/>
      <c r="P42" s="24"/>
      <c r="Q42" s="24"/>
      <c r="R42" s="24"/>
      <c r="S42" s="62"/>
      <c r="T42" s="24"/>
      <c r="U42" s="24"/>
      <c r="V42" s="24"/>
      <c r="W42" s="62"/>
      <c r="X42" s="24"/>
      <c r="Y42" s="24"/>
      <c r="Z42" s="24"/>
      <c r="AA42" s="62"/>
      <c r="AB42" s="24"/>
      <c r="AC42" s="24"/>
      <c r="AD42" s="24"/>
      <c r="AE42" s="62"/>
      <c r="AF42" s="24"/>
      <c r="AG42" s="24"/>
      <c r="AH42" s="24"/>
      <c r="AI42" s="62"/>
      <c r="AJ42" s="24"/>
      <c r="AK42" s="24"/>
      <c r="AL42" s="24"/>
      <c r="AM42" s="62"/>
      <c r="AN42" s="24"/>
      <c r="AO42" s="24"/>
      <c r="AP42" s="24"/>
      <c r="AQ42" s="62"/>
      <c r="AR42" s="24"/>
      <c r="AS42" s="24"/>
      <c r="AT42" s="24"/>
      <c r="AU42" s="62"/>
      <c r="AV42" s="24"/>
      <c r="AW42" s="24"/>
      <c r="AY42" s="24"/>
      <c r="AZ42" s="62"/>
      <c r="BA42" s="24"/>
      <c r="BB42" s="24"/>
      <c r="BC42" s="24"/>
      <c r="BD42" s="22"/>
      <c r="BE42" s="24"/>
      <c r="BF42" s="62"/>
      <c r="BG42" s="24"/>
      <c r="BH42" s="24"/>
      <c r="BI42" s="24"/>
      <c r="BJ42" s="22"/>
      <c r="BK42" s="24"/>
      <c r="BL42" s="62"/>
      <c r="BM42" s="24"/>
      <c r="BN42" s="24"/>
      <c r="BO42" s="24"/>
      <c r="BP42" s="22"/>
    </row>
    <row r="43" spans="1:69" ht="12.75">
      <c r="A43" s="29"/>
      <c r="B43" s="24"/>
      <c r="C43" s="29" t="s">
        <v>45</v>
      </c>
      <c r="D43" s="65">
        <v>1968</v>
      </c>
      <c r="E43" s="31" t="s">
        <v>15</v>
      </c>
      <c r="F43" s="15"/>
      <c r="G43" s="15"/>
      <c r="H43" s="15"/>
      <c r="I43" s="16"/>
      <c r="J43" s="24"/>
      <c r="K43" s="24"/>
      <c r="L43" s="62"/>
      <c r="M43" s="24"/>
      <c r="N43" s="24"/>
      <c r="O43" s="24"/>
      <c r="P43" s="62"/>
      <c r="Q43" s="24"/>
      <c r="R43" s="24"/>
      <c r="S43" s="24"/>
      <c r="T43" s="62"/>
      <c r="U43" s="24"/>
      <c r="V43" s="24"/>
      <c r="W43" s="24"/>
      <c r="X43" s="62"/>
      <c r="Y43" s="24"/>
      <c r="Z43" s="24"/>
      <c r="AA43" s="24"/>
      <c r="AB43" s="62"/>
      <c r="AC43" s="24"/>
      <c r="AD43" s="24"/>
      <c r="AE43" s="24"/>
      <c r="AF43" s="62"/>
      <c r="AG43" s="24"/>
      <c r="AH43" s="24"/>
      <c r="AI43" s="24"/>
      <c r="AJ43" s="62"/>
      <c r="AK43" s="24"/>
      <c r="AL43" s="24"/>
      <c r="AM43" s="24"/>
      <c r="AN43" s="62"/>
      <c r="AO43" s="24"/>
      <c r="AP43" s="24"/>
      <c r="AQ43" s="24"/>
      <c r="AR43" s="62"/>
      <c r="AS43" s="24"/>
      <c r="AT43" s="24"/>
      <c r="AU43" s="24"/>
      <c r="AV43" s="62"/>
      <c r="AW43" s="24"/>
      <c r="AX43" s="24"/>
      <c r="AZ43" s="24"/>
      <c r="BA43" s="62"/>
      <c r="BB43" s="24"/>
      <c r="BC43" s="24"/>
      <c r="BD43" s="24"/>
      <c r="BE43" s="22"/>
      <c r="BF43" s="24"/>
      <c r="BG43" s="62"/>
      <c r="BH43" s="24"/>
      <c r="BI43" s="24"/>
      <c r="BJ43" s="24"/>
      <c r="BK43" s="22"/>
      <c r="BL43" s="24"/>
      <c r="BM43" s="62"/>
      <c r="BN43" s="24"/>
      <c r="BO43" s="24"/>
      <c r="BP43" s="24"/>
      <c r="BQ43" s="22"/>
    </row>
    <row r="44" spans="2:69" ht="12.75">
      <c r="B44" s="24"/>
      <c r="C44" s="29" t="s">
        <v>0</v>
      </c>
      <c r="D44" s="17" t="s">
        <v>4</v>
      </c>
      <c r="E44" s="6"/>
      <c r="F44" s="18" t="s">
        <v>5</v>
      </c>
      <c r="G44" s="18" t="s">
        <v>46</v>
      </c>
      <c r="H44" s="6" t="s">
        <v>3</v>
      </c>
      <c r="I44" s="19" t="s">
        <v>47</v>
      </c>
      <c r="J44" s="24"/>
      <c r="K44" s="24"/>
      <c r="L44" s="62"/>
      <c r="M44" s="24"/>
      <c r="N44" s="24"/>
      <c r="O44" s="24"/>
      <c r="P44" s="62"/>
      <c r="Q44" s="24"/>
      <c r="R44" s="24"/>
      <c r="S44" s="24"/>
      <c r="T44" s="62"/>
      <c r="U44" s="24"/>
      <c r="V44" s="24"/>
      <c r="W44" s="24"/>
      <c r="X44" s="62"/>
      <c r="Y44" s="24"/>
      <c r="Z44" s="24"/>
      <c r="AA44" s="24"/>
      <c r="AB44" s="62"/>
      <c r="AC44" s="24"/>
      <c r="AD44" s="24"/>
      <c r="AE44" s="24"/>
      <c r="AF44" s="62"/>
      <c r="AG44" s="24"/>
      <c r="AH44" s="24"/>
      <c r="AI44" s="24"/>
      <c r="AJ44" s="62"/>
      <c r="AK44" s="24"/>
      <c r="AL44" s="24"/>
      <c r="AM44" s="24"/>
      <c r="AN44" s="62"/>
      <c r="AO44" s="24"/>
      <c r="AP44" s="24"/>
      <c r="AQ44" s="24"/>
      <c r="AR44" s="62"/>
      <c r="AS44" s="24"/>
      <c r="AT44" s="24"/>
      <c r="AU44" s="24"/>
      <c r="AV44" s="62"/>
      <c r="AW44" s="24"/>
      <c r="AX44" s="24"/>
      <c r="AZ44" s="24"/>
      <c r="BA44" s="62"/>
      <c r="BB44" s="24"/>
      <c r="BC44" s="24"/>
      <c r="BD44" s="24"/>
      <c r="BE44" s="22"/>
      <c r="BF44" s="24"/>
      <c r="BG44" s="62"/>
      <c r="BH44" s="24"/>
      <c r="BI44" s="24"/>
      <c r="BJ44" s="24"/>
      <c r="BK44" s="22"/>
      <c r="BL44" s="24"/>
      <c r="BM44" s="62"/>
      <c r="BN44" s="24"/>
      <c r="BO44" s="24"/>
      <c r="BP44" s="24"/>
      <c r="BQ44" s="22"/>
    </row>
    <row r="45" spans="1:69" ht="12.75">
      <c r="A45" s="1"/>
      <c r="B45" s="24"/>
      <c r="C45" s="67">
        <v>1</v>
      </c>
      <c r="D45" s="20">
        <v>1330100</v>
      </c>
      <c r="E45" s="21">
        <f aca="true" t="shared" si="8" ref="E45:E51">E46+D45</f>
        <v>20647400</v>
      </c>
      <c r="F45" s="22">
        <v>-972400</v>
      </c>
      <c r="G45" s="22">
        <f>F45/1.95583</f>
        <v>-497180.2252752029</v>
      </c>
      <c r="H45" s="9">
        <f aca="true" t="shared" si="9" ref="H45:H55">F45*1000/D45</f>
        <v>-731.0728516652883</v>
      </c>
      <c r="I45" s="49">
        <f>H45/1.95583</f>
        <v>-373.79161361942926</v>
      </c>
      <c r="J45" s="24"/>
      <c r="K45" s="24"/>
      <c r="L45" s="62"/>
      <c r="M45" s="24"/>
      <c r="N45" s="24"/>
      <c r="O45" s="24"/>
      <c r="P45" s="62"/>
      <c r="Q45" s="24"/>
      <c r="R45" s="24"/>
      <c r="S45" s="24"/>
      <c r="T45" s="62"/>
      <c r="U45" s="24"/>
      <c r="V45" s="24"/>
      <c r="W45" s="24"/>
      <c r="X45" s="62"/>
      <c r="Y45" s="24"/>
      <c r="Z45" s="24"/>
      <c r="AA45" s="24"/>
      <c r="AB45" s="62"/>
      <c r="AC45" s="24"/>
      <c r="AD45" s="24"/>
      <c r="AE45" s="24"/>
      <c r="AF45" s="62"/>
      <c r="AG45" s="24"/>
      <c r="AH45" s="24"/>
      <c r="AI45" s="24"/>
      <c r="AJ45" s="62"/>
      <c r="AK45" s="24"/>
      <c r="AL45" s="24"/>
      <c r="AM45" s="24"/>
      <c r="AN45" s="62"/>
      <c r="AO45" s="24"/>
      <c r="AP45" s="24"/>
      <c r="AQ45" s="24"/>
      <c r="AR45" s="62"/>
      <c r="AS45" s="24"/>
      <c r="AT45" s="24"/>
      <c r="AU45" s="24"/>
      <c r="AV45" s="62"/>
      <c r="AW45" s="24"/>
      <c r="AX45" s="24"/>
      <c r="AZ45" s="24"/>
      <c r="BA45" s="62"/>
      <c r="BB45" s="24"/>
      <c r="BC45" s="24"/>
      <c r="BD45" s="24"/>
      <c r="BE45" s="22"/>
      <c r="BF45" s="24"/>
      <c r="BG45" s="62"/>
      <c r="BH45" s="24"/>
      <c r="BI45" s="24"/>
      <c r="BJ45" s="24"/>
      <c r="BK45" s="22"/>
      <c r="BL45" s="24"/>
      <c r="BM45" s="62"/>
      <c r="BN45" s="24"/>
      <c r="BO45" s="24"/>
      <c r="BP45" s="24"/>
      <c r="BQ45" s="22"/>
    </row>
    <row r="46" spans="1:69" ht="12.75">
      <c r="A46" s="1"/>
      <c r="B46" s="24"/>
      <c r="C46" s="67">
        <v>25000</v>
      </c>
      <c r="D46" s="20">
        <f>1261300+842100+1366600+2995900+5134300+3609500+2878600+896900</f>
        <v>18985200</v>
      </c>
      <c r="E46" s="21">
        <f t="shared" si="8"/>
        <v>19317300</v>
      </c>
      <c r="F46" s="22">
        <f>913800+1908700+5537000+19857600+51351300+49833700+55669400+29506100</f>
        <v>214577600</v>
      </c>
      <c r="G46" s="22">
        <f aca="true" t="shared" si="10" ref="G46:G54">F46/1.95583</f>
        <v>109711784.76656969</v>
      </c>
      <c r="H46" s="9">
        <f t="shared" si="9"/>
        <v>11302.361839748857</v>
      </c>
      <c r="I46" s="49">
        <f aca="true" t="shared" si="11" ref="I46:I54">H46/1.95583</f>
        <v>5778.805847005547</v>
      </c>
      <c r="J46" s="24"/>
      <c r="K46" s="24"/>
      <c r="L46" s="62"/>
      <c r="M46" s="24"/>
      <c r="N46" s="24"/>
      <c r="O46" s="24"/>
      <c r="P46" s="62"/>
      <c r="Q46" s="24"/>
      <c r="R46" s="24"/>
      <c r="S46" s="24"/>
      <c r="T46" s="62"/>
      <c r="U46" s="24"/>
      <c r="V46" s="24"/>
      <c r="W46" s="24"/>
      <c r="X46" s="62"/>
      <c r="Y46" s="24"/>
      <c r="Z46" s="24"/>
      <c r="AA46" s="24"/>
      <c r="AB46" s="62"/>
      <c r="AC46" s="24"/>
      <c r="AD46" s="24"/>
      <c r="AE46" s="24"/>
      <c r="AF46" s="62"/>
      <c r="AG46" s="24"/>
      <c r="AH46" s="24"/>
      <c r="AI46" s="24"/>
      <c r="AJ46" s="62"/>
      <c r="AK46" s="24"/>
      <c r="AL46" s="24"/>
      <c r="AM46" s="24"/>
      <c r="AN46" s="62"/>
      <c r="AO46" s="24"/>
      <c r="AP46" s="24"/>
      <c r="AQ46" s="24"/>
      <c r="AR46" s="62"/>
      <c r="AS46" s="24"/>
      <c r="AT46" s="24"/>
      <c r="AU46" s="24"/>
      <c r="AV46" s="62"/>
      <c r="AW46" s="24"/>
      <c r="AX46" s="24"/>
      <c r="AZ46" s="24"/>
      <c r="BA46" s="62"/>
      <c r="BB46" s="24"/>
      <c r="BC46" s="24"/>
      <c r="BD46" s="24"/>
      <c r="BE46" s="22"/>
      <c r="BF46" s="24"/>
      <c r="BG46" s="62"/>
      <c r="BH46" s="24"/>
      <c r="BI46" s="24"/>
      <c r="BJ46" s="24"/>
      <c r="BK46" s="22"/>
      <c r="BL46" s="24"/>
      <c r="BM46" s="62"/>
      <c r="BN46" s="24"/>
      <c r="BO46" s="24"/>
      <c r="BP46" s="24"/>
      <c r="BQ46" s="22"/>
    </row>
    <row r="47" spans="1:69" ht="12.75">
      <c r="A47" s="1"/>
      <c r="B47" s="24"/>
      <c r="C47" s="67">
        <v>100000</v>
      </c>
      <c r="D47" s="20">
        <f>154200+66900</f>
        <v>221100</v>
      </c>
      <c r="E47" s="21">
        <f t="shared" si="8"/>
        <v>332100</v>
      </c>
      <c r="F47" s="22">
        <f>9305400+5760800</f>
        <v>15066200</v>
      </c>
      <c r="G47" s="22">
        <f t="shared" si="10"/>
        <v>7703225.740478467</v>
      </c>
      <c r="H47" s="9">
        <f t="shared" si="9"/>
        <v>68142.01718679331</v>
      </c>
      <c r="I47" s="49">
        <f t="shared" si="11"/>
        <v>34840.46015594061</v>
      </c>
      <c r="J47" s="24"/>
      <c r="K47" s="24"/>
      <c r="L47" s="62"/>
      <c r="M47" s="24"/>
      <c r="N47" s="24"/>
      <c r="O47" s="24"/>
      <c r="P47" s="62"/>
      <c r="Q47" s="24"/>
      <c r="R47" s="24"/>
      <c r="S47" s="24"/>
      <c r="T47" s="62"/>
      <c r="U47" s="24"/>
      <c r="V47" s="24"/>
      <c r="W47" s="24"/>
      <c r="X47" s="62"/>
      <c r="Y47" s="24"/>
      <c r="Z47" s="24"/>
      <c r="AA47" s="24"/>
      <c r="AB47" s="62"/>
      <c r="AC47" s="24"/>
      <c r="AD47" s="24"/>
      <c r="AE47" s="24"/>
      <c r="AF47" s="62"/>
      <c r="AG47" s="24"/>
      <c r="AH47" s="24"/>
      <c r="AI47" s="24"/>
      <c r="AJ47" s="62"/>
      <c r="AK47" s="24"/>
      <c r="AL47" s="24"/>
      <c r="AM47" s="24"/>
      <c r="AN47" s="62"/>
      <c r="AO47" s="24"/>
      <c r="AP47" s="24"/>
      <c r="AQ47" s="24"/>
      <c r="AR47" s="62"/>
      <c r="AS47" s="24"/>
      <c r="AT47" s="24"/>
      <c r="AU47" s="24"/>
      <c r="AV47" s="62"/>
      <c r="AW47" s="24"/>
      <c r="AX47" s="24"/>
      <c r="AZ47" s="24"/>
      <c r="BA47" s="62"/>
      <c r="BB47" s="24"/>
      <c r="BC47" s="24"/>
      <c r="BD47" s="24"/>
      <c r="BE47" s="22"/>
      <c r="BF47" s="24"/>
      <c r="BG47" s="62"/>
      <c r="BH47" s="24"/>
      <c r="BI47" s="24"/>
      <c r="BJ47" s="24"/>
      <c r="BK47" s="22"/>
      <c r="BL47" s="24"/>
      <c r="BM47" s="62"/>
      <c r="BN47" s="24"/>
      <c r="BO47" s="24"/>
      <c r="BP47" s="24"/>
      <c r="BQ47" s="22"/>
    </row>
    <row r="48" spans="1:69" ht="12.75">
      <c r="A48" s="1"/>
      <c r="B48" s="24"/>
      <c r="C48" s="67">
        <v>250000</v>
      </c>
      <c r="D48" s="20">
        <v>89500</v>
      </c>
      <c r="E48" s="21">
        <f t="shared" si="8"/>
        <v>111000</v>
      </c>
      <c r="F48" s="22">
        <v>12972900</v>
      </c>
      <c r="G48" s="22">
        <f t="shared" si="10"/>
        <v>6632938.445570423</v>
      </c>
      <c r="H48" s="9">
        <f t="shared" si="9"/>
        <v>144948.6033519553</v>
      </c>
      <c r="I48" s="49">
        <f t="shared" si="11"/>
        <v>74111.04408458572</v>
      </c>
      <c r="J48" s="24"/>
      <c r="K48" s="24"/>
      <c r="L48" s="62"/>
      <c r="M48" s="24"/>
      <c r="N48" s="24"/>
      <c r="O48" s="24"/>
      <c r="P48" s="62"/>
      <c r="Q48" s="24"/>
      <c r="R48" s="24"/>
      <c r="S48" s="24"/>
      <c r="T48" s="62"/>
      <c r="U48" s="24"/>
      <c r="V48" s="24"/>
      <c r="W48" s="24"/>
      <c r="X48" s="62"/>
      <c r="Y48" s="24"/>
      <c r="Z48" s="24"/>
      <c r="AA48" s="24"/>
      <c r="AB48" s="62"/>
      <c r="AC48" s="24"/>
      <c r="AD48" s="24"/>
      <c r="AE48" s="24"/>
      <c r="AF48" s="62"/>
      <c r="AG48" s="24"/>
      <c r="AH48" s="24"/>
      <c r="AI48" s="24"/>
      <c r="AJ48" s="62"/>
      <c r="AK48" s="24"/>
      <c r="AL48" s="24"/>
      <c r="AM48" s="24"/>
      <c r="AN48" s="62"/>
      <c r="AO48" s="24"/>
      <c r="AP48" s="24"/>
      <c r="AQ48" s="24"/>
      <c r="AR48" s="62"/>
      <c r="AS48" s="24"/>
      <c r="AT48" s="24"/>
      <c r="AU48" s="24"/>
      <c r="AV48" s="62"/>
      <c r="AW48" s="24"/>
      <c r="AX48" s="24"/>
      <c r="AZ48" s="24"/>
      <c r="BA48" s="62"/>
      <c r="BB48" s="24"/>
      <c r="BC48" s="24"/>
      <c r="BD48" s="24"/>
      <c r="BE48" s="22"/>
      <c r="BF48" s="24"/>
      <c r="BG48" s="62"/>
      <c r="BH48" s="24"/>
      <c r="BI48" s="24"/>
      <c r="BJ48" s="24"/>
      <c r="BK48" s="22"/>
      <c r="BL48" s="24"/>
      <c r="BM48" s="62"/>
      <c r="BN48" s="24"/>
      <c r="BO48" s="24"/>
      <c r="BP48" s="24"/>
      <c r="BQ48" s="22"/>
    </row>
    <row r="49" spans="1:69" ht="12.75">
      <c r="A49" s="1"/>
      <c r="B49" s="24"/>
      <c r="C49" s="67">
        <v>500000</v>
      </c>
      <c r="D49" s="20">
        <v>14500</v>
      </c>
      <c r="E49" s="21">
        <f t="shared" si="8"/>
        <v>21500</v>
      </c>
      <c r="F49" s="22">
        <v>4887500</v>
      </c>
      <c r="G49" s="22">
        <f t="shared" si="10"/>
        <v>2498939.069346518</v>
      </c>
      <c r="H49" s="9">
        <f t="shared" si="9"/>
        <v>337068.9655172414</v>
      </c>
      <c r="I49" s="49">
        <f t="shared" si="11"/>
        <v>172340.62547217365</v>
      </c>
      <c r="J49" s="24"/>
      <c r="K49" s="24"/>
      <c r="L49" s="62"/>
      <c r="M49" s="24"/>
      <c r="N49" s="24"/>
      <c r="O49" s="24"/>
      <c r="P49" s="62"/>
      <c r="Q49" s="24"/>
      <c r="R49" s="24"/>
      <c r="S49" s="24"/>
      <c r="T49" s="62"/>
      <c r="U49" s="24"/>
      <c r="V49" s="24"/>
      <c r="W49" s="24"/>
      <c r="X49" s="62"/>
      <c r="Y49" s="24"/>
      <c r="Z49" s="24"/>
      <c r="AA49" s="24"/>
      <c r="AB49" s="62"/>
      <c r="AC49" s="24"/>
      <c r="AD49" s="24"/>
      <c r="AE49" s="24"/>
      <c r="AF49" s="62"/>
      <c r="AG49" s="24"/>
      <c r="AH49" s="24"/>
      <c r="AI49" s="24"/>
      <c r="AJ49" s="62"/>
      <c r="AK49" s="24"/>
      <c r="AL49" s="24"/>
      <c r="AM49" s="24"/>
      <c r="AN49" s="62"/>
      <c r="AO49" s="24"/>
      <c r="AP49" s="24"/>
      <c r="AQ49" s="24"/>
      <c r="AR49" s="62"/>
      <c r="AS49" s="24"/>
      <c r="AT49" s="24"/>
      <c r="AU49" s="24"/>
      <c r="AV49" s="62"/>
      <c r="AW49" s="24"/>
      <c r="AX49" s="24"/>
      <c r="AZ49" s="24"/>
      <c r="BA49" s="62"/>
      <c r="BB49" s="24"/>
      <c r="BC49" s="24"/>
      <c r="BD49" s="24"/>
      <c r="BE49" s="22"/>
      <c r="BF49" s="24"/>
      <c r="BG49" s="62"/>
      <c r="BH49" s="24"/>
      <c r="BI49" s="24"/>
      <c r="BJ49" s="24"/>
      <c r="BK49" s="22"/>
      <c r="BL49" s="24"/>
      <c r="BM49" s="62"/>
      <c r="BN49" s="24"/>
      <c r="BO49" s="24"/>
      <c r="BP49" s="24"/>
      <c r="BQ49" s="22"/>
    </row>
    <row r="50" spans="1:69" ht="12.75">
      <c r="A50" s="1"/>
      <c r="B50" s="24"/>
      <c r="C50" s="67">
        <v>1000000</v>
      </c>
      <c r="D50" s="20">
        <v>4600</v>
      </c>
      <c r="E50" s="21">
        <f t="shared" si="8"/>
        <v>7000</v>
      </c>
      <c r="F50" s="22">
        <v>3122000</v>
      </c>
      <c r="G50" s="22">
        <f t="shared" si="10"/>
        <v>1596253.2530945942</v>
      </c>
      <c r="H50" s="9">
        <f t="shared" si="9"/>
        <v>678695.6521739131</v>
      </c>
      <c r="I50" s="49">
        <f t="shared" si="11"/>
        <v>347011.5767596944</v>
      </c>
      <c r="J50" s="24"/>
      <c r="K50" s="24"/>
      <c r="L50" s="62"/>
      <c r="M50" s="24"/>
      <c r="N50" s="24"/>
      <c r="O50" s="24"/>
      <c r="P50" s="62"/>
      <c r="Q50" s="24"/>
      <c r="R50" s="24"/>
      <c r="S50" s="24"/>
      <c r="T50" s="62"/>
      <c r="U50" s="24"/>
      <c r="V50" s="24"/>
      <c r="W50" s="24"/>
      <c r="X50" s="62"/>
      <c r="Y50" s="24"/>
      <c r="Z50" s="24"/>
      <c r="AA50" s="24"/>
      <c r="AB50" s="62"/>
      <c r="AC50" s="24"/>
      <c r="AD50" s="24"/>
      <c r="AE50" s="24"/>
      <c r="AF50" s="62"/>
      <c r="AG50" s="24"/>
      <c r="AH50" s="24"/>
      <c r="AI50" s="24"/>
      <c r="AJ50" s="62"/>
      <c r="AK50" s="24"/>
      <c r="AL50" s="24"/>
      <c r="AM50" s="24"/>
      <c r="AN50" s="62"/>
      <c r="AO50" s="24"/>
      <c r="AP50" s="24"/>
      <c r="AQ50" s="24"/>
      <c r="AR50" s="62"/>
      <c r="AS50" s="24"/>
      <c r="AT50" s="24"/>
      <c r="AU50" s="24"/>
      <c r="AV50" s="62"/>
      <c r="AW50" s="24"/>
      <c r="AX50" s="24"/>
      <c r="AZ50" s="24"/>
      <c r="BA50" s="62"/>
      <c r="BB50" s="24"/>
      <c r="BC50" s="24"/>
      <c r="BD50" s="24"/>
      <c r="BE50" s="22"/>
      <c r="BF50" s="24"/>
      <c r="BG50" s="62"/>
      <c r="BH50" s="24"/>
      <c r="BI50" s="24"/>
      <c r="BJ50" s="24"/>
      <c r="BK50" s="22"/>
      <c r="BL50" s="24"/>
      <c r="BM50" s="62"/>
      <c r="BN50" s="24"/>
      <c r="BO50" s="24"/>
      <c r="BP50" s="24"/>
      <c r="BQ50" s="22"/>
    </row>
    <row r="51" spans="1:69" ht="12.75">
      <c r="A51" s="1"/>
      <c r="B51" s="24"/>
      <c r="C51" s="67">
        <v>2000000</v>
      </c>
      <c r="D51" s="20">
        <v>2400</v>
      </c>
      <c r="E51" s="21">
        <f t="shared" si="8"/>
        <v>2400</v>
      </c>
      <c r="F51" s="22">
        <v>5922900</v>
      </c>
      <c r="G51" s="22">
        <f t="shared" si="10"/>
        <v>3028330.6831370825</v>
      </c>
      <c r="H51" s="9">
        <f t="shared" si="9"/>
        <v>2467875</v>
      </c>
      <c r="I51" s="49">
        <f t="shared" si="11"/>
        <v>1261804.4513071177</v>
      </c>
      <c r="J51" s="24"/>
      <c r="K51" s="24"/>
      <c r="L51" s="62"/>
      <c r="M51" s="24"/>
      <c r="N51" s="24"/>
      <c r="O51" s="24"/>
      <c r="P51" s="62"/>
      <c r="Q51" s="24"/>
      <c r="R51" s="24"/>
      <c r="S51" s="24"/>
      <c r="T51" s="62"/>
      <c r="U51" s="24"/>
      <c r="V51" s="24"/>
      <c r="W51" s="24"/>
      <c r="X51" s="62"/>
      <c r="Y51" s="24"/>
      <c r="Z51" s="24"/>
      <c r="AA51" s="24"/>
      <c r="AB51" s="62"/>
      <c r="AC51" s="24"/>
      <c r="AD51" s="24"/>
      <c r="AE51" s="24"/>
      <c r="AF51" s="62"/>
      <c r="AG51" s="24"/>
      <c r="AH51" s="24"/>
      <c r="AI51" s="24"/>
      <c r="AJ51" s="62"/>
      <c r="AK51" s="24"/>
      <c r="AL51" s="24"/>
      <c r="AM51" s="24"/>
      <c r="AN51" s="62"/>
      <c r="AO51" s="24"/>
      <c r="AP51" s="24"/>
      <c r="AQ51" s="24"/>
      <c r="AR51" s="62"/>
      <c r="AS51" s="24"/>
      <c r="AT51" s="24"/>
      <c r="AU51" s="24"/>
      <c r="AV51" s="62"/>
      <c r="AW51" s="24"/>
      <c r="AX51" s="24"/>
      <c r="AZ51" s="24"/>
      <c r="BA51" s="62"/>
      <c r="BB51" s="24"/>
      <c r="BC51" s="24"/>
      <c r="BD51" s="24"/>
      <c r="BE51" s="22"/>
      <c r="BF51" s="24"/>
      <c r="BG51" s="62"/>
      <c r="BH51" s="24"/>
      <c r="BI51" s="24"/>
      <c r="BJ51" s="24"/>
      <c r="BK51" s="22"/>
      <c r="BL51" s="24"/>
      <c r="BM51" s="62"/>
      <c r="BN51" s="24"/>
      <c r="BO51" s="24"/>
      <c r="BP51" s="24"/>
      <c r="BQ51" s="22"/>
    </row>
    <row r="52" spans="1:69" ht="12.75">
      <c r="A52" s="1"/>
      <c r="B52" s="24"/>
      <c r="C52" s="67">
        <v>5000000</v>
      </c>
      <c r="D52" s="20"/>
      <c r="E52" s="21">
        <f>E53+D52</f>
        <v>0</v>
      </c>
      <c r="F52" s="22"/>
      <c r="G52" s="22">
        <f t="shared" si="10"/>
        <v>0</v>
      </c>
      <c r="H52" s="9"/>
      <c r="I52" s="49">
        <f t="shared" si="11"/>
        <v>0</v>
      </c>
      <c r="J52" s="24"/>
      <c r="K52" s="24"/>
      <c r="L52" s="62"/>
      <c r="M52" s="24"/>
      <c r="N52" s="24"/>
      <c r="O52" s="24"/>
      <c r="P52" s="62"/>
      <c r="Q52" s="24"/>
      <c r="R52" s="24"/>
      <c r="S52" s="24"/>
      <c r="T52" s="62"/>
      <c r="U52" s="24"/>
      <c r="V52" s="24"/>
      <c r="W52" s="24"/>
      <c r="X52" s="62"/>
      <c r="Y52" s="24"/>
      <c r="Z52" s="24"/>
      <c r="AA52" s="24"/>
      <c r="AB52" s="62"/>
      <c r="AC52" s="24"/>
      <c r="AD52" s="24"/>
      <c r="AE52" s="24"/>
      <c r="AF52" s="62"/>
      <c r="AG52" s="24"/>
      <c r="AH52" s="24"/>
      <c r="AI52" s="24"/>
      <c r="AJ52" s="62"/>
      <c r="AK52" s="24"/>
      <c r="AL52" s="24"/>
      <c r="AM52" s="24"/>
      <c r="AN52" s="62"/>
      <c r="AO52" s="24"/>
      <c r="AP52" s="24"/>
      <c r="AQ52" s="24"/>
      <c r="AR52" s="62"/>
      <c r="AS52" s="24"/>
      <c r="AT52" s="24"/>
      <c r="AU52" s="24"/>
      <c r="AV52" s="62"/>
      <c r="AW52" s="24"/>
      <c r="AX52" s="24"/>
      <c r="AZ52" s="24"/>
      <c r="BA52" s="62"/>
      <c r="BB52" s="24"/>
      <c r="BC52" s="24"/>
      <c r="BD52" s="24"/>
      <c r="BE52" s="22"/>
      <c r="BF52" s="24"/>
      <c r="BG52" s="62"/>
      <c r="BH52" s="24"/>
      <c r="BI52" s="24"/>
      <c r="BJ52" s="24"/>
      <c r="BK52" s="22"/>
      <c r="BL52" s="24"/>
      <c r="BM52" s="62"/>
      <c r="BN52" s="24"/>
      <c r="BO52" s="24"/>
      <c r="BP52" s="24"/>
      <c r="BQ52" s="22"/>
    </row>
    <row r="53" spans="1:69" ht="12.75">
      <c r="A53" s="1"/>
      <c r="B53" s="24"/>
      <c r="C53" s="67">
        <v>10000000</v>
      </c>
      <c r="D53" s="20"/>
      <c r="E53" s="24">
        <f>E54+D53</f>
        <v>0</v>
      </c>
      <c r="F53" s="22"/>
      <c r="G53" s="22">
        <f t="shared" si="10"/>
        <v>0</v>
      </c>
      <c r="H53" s="9"/>
      <c r="I53" s="49">
        <f t="shared" si="11"/>
        <v>0</v>
      </c>
      <c r="J53" s="24"/>
      <c r="K53" s="24"/>
      <c r="L53" s="62"/>
      <c r="M53" s="24"/>
      <c r="N53" s="24"/>
      <c r="O53" s="24"/>
      <c r="P53" s="62"/>
      <c r="Q53" s="24"/>
      <c r="R53" s="24"/>
      <c r="S53" s="24"/>
      <c r="T53" s="62"/>
      <c r="U53" s="24"/>
      <c r="V53" s="24"/>
      <c r="W53" s="24"/>
      <c r="X53" s="62"/>
      <c r="Y53" s="24"/>
      <c r="Z53" s="24"/>
      <c r="AA53" s="24"/>
      <c r="AB53" s="62"/>
      <c r="AC53" s="24"/>
      <c r="AD53" s="24"/>
      <c r="AE53" s="24"/>
      <c r="AF53" s="62"/>
      <c r="AG53" s="24"/>
      <c r="AH53" s="24"/>
      <c r="AI53" s="24"/>
      <c r="AJ53" s="62"/>
      <c r="AK53" s="24"/>
      <c r="AL53" s="24"/>
      <c r="AM53" s="24"/>
      <c r="AN53" s="62"/>
      <c r="AO53" s="24"/>
      <c r="AP53" s="24"/>
      <c r="AQ53" s="24"/>
      <c r="AR53" s="62"/>
      <c r="AS53" s="24"/>
      <c r="AT53" s="24"/>
      <c r="AU53" s="24"/>
      <c r="AV53" s="62"/>
      <c r="AW53" s="24"/>
      <c r="AX53" s="24"/>
      <c r="AZ53" s="24"/>
      <c r="BA53" s="62"/>
      <c r="BB53" s="24"/>
      <c r="BC53" s="24"/>
      <c r="BD53" s="24"/>
      <c r="BE53" s="22"/>
      <c r="BF53" s="24"/>
      <c r="BG53" s="62"/>
      <c r="BH53" s="24"/>
      <c r="BI53" s="24"/>
      <c r="BJ53" s="24"/>
      <c r="BK53" s="22"/>
      <c r="BL53" s="24"/>
      <c r="BM53" s="62"/>
      <c r="BN53" s="24"/>
      <c r="BO53" s="24"/>
      <c r="BP53" s="24"/>
      <c r="BQ53" s="22"/>
    </row>
    <row r="54" spans="1:69" ht="12.75">
      <c r="A54" s="29"/>
      <c r="B54" s="24"/>
      <c r="C54" s="29" t="s">
        <v>1</v>
      </c>
      <c r="D54" s="20"/>
      <c r="E54" s="24">
        <f>E55+D54</f>
        <v>0</v>
      </c>
      <c r="F54" s="22"/>
      <c r="G54" s="22">
        <f t="shared" si="10"/>
        <v>0</v>
      </c>
      <c r="H54" s="9"/>
      <c r="I54" s="49">
        <f t="shared" si="11"/>
        <v>0</v>
      </c>
      <c r="J54" s="24"/>
      <c r="K54" s="24"/>
      <c r="L54" s="62"/>
      <c r="M54" s="24"/>
      <c r="N54" s="24"/>
      <c r="O54" s="24"/>
      <c r="P54" s="62"/>
      <c r="Q54" s="24"/>
      <c r="R54" s="24"/>
      <c r="S54" s="24"/>
      <c r="T54" s="62"/>
      <c r="U54" s="24"/>
      <c r="V54" s="24"/>
      <c r="W54" s="24"/>
      <c r="X54" s="62"/>
      <c r="Y54" s="24"/>
      <c r="Z54" s="24"/>
      <c r="AA54" s="24"/>
      <c r="AB54" s="62"/>
      <c r="AC54" s="24"/>
      <c r="AD54" s="24"/>
      <c r="AE54" s="24"/>
      <c r="AF54" s="62"/>
      <c r="AG54" s="24"/>
      <c r="AH54" s="24"/>
      <c r="AI54" s="24"/>
      <c r="AJ54" s="62"/>
      <c r="AK54" s="24"/>
      <c r="AL54" s="24"/>
      <c r="AM54" s="24"/>
      <c r="AN54" s="62"/>
      <c r="AO54" s="24"/>
      <c r="AP54" s="24"/>
      <c r="AQ54" s="24"/>
      <c r="AR54" s="62"/>
      <c r="AS54" s="24"/>
      <c r="AT54" s="24"/>
      <c r="AU54" s="24"/>
      <c r="AV54" s="62"/>
      <c r="AW54" s="24"/>
      <c r="AX54" s="24"/>
      <c r="AZ54" s="24"/>
      <c r="BA54" s="62"/>
      <c r="BB54" s="24"/>
      <c r="BC54" s="24"/>
      <c r="BD54" s="24"/>
      <c r="BE54" s="22"/>
      <c r="BF54" s="24"/>
      <c r="BG54" s="62"/>
      <c r="BH54" s="24"/>
      <c r="BI54" s="24"/>
      <c r="BJ54" s="24"/>
      <c r="BK54" s="22"/>
      <c r="BL54" s="24"/>
      <c r="BM54" s="62"/>
      <c r="BN54" s="24"/>
      <c r="BO54" s="24"/>
      <c r="BP54" s="24"/>
      <c r="BQ54" s="22"/>
    </row>
    <row r="55" spans="1:69" ht="12.75">
      <c r="A55" s="30"/>
      <c r="B55" s="24"/>
      <c r="C55" s="29" t="s">
        <v>2</v>
      </c>
      <c r="D55" s="20">
        <f>SUM(D45:D54)</f>
        <v>20647400</v>
      </c>
      <c r="E55" s="24"/>
      <c r="F55" s="22">
        <f>SUM(F45:F54)</f>
        <v>255576700</v>
      </c>
      <c r="G55" s="22">
        <f>SUM(G45:G54)</f>
        <v>130674291.73292159</v>
      </c>
      <c r="H55" s="9">
        <f t="shared" si="9"/>
        <v>12378.154150159342</v>
      </c>
      <c r="I55" s="19"/>
      <c r="J55" s="24"/>
      <c r="K55" s="24"/>
      <c r="L55" s="62"/>
      <c r="M55" s="24"/>
      <c r="N55" s="24"/>
      <c r="O55" s="24"/>
      <c r="P55" s="62"/>
      <c r="Q55" s="24"/>
      <c r="R55" s="24"/>
      <c r="S55" s="24"/>
      <c r="T55" s="62"/>
      <c r="U55" s="24"/>
      <c r="V55" s="24"/>
      <c r="W55" s="24"/>
      <c r="X55" s="62"/>
      <c r="Y55" s="24"/>
      <c r="Z55" s="24"/>
      <c r="AA55" s="24"/>
      <c r="AB55" s="62"/>
      <c r="AC55" s="24"/>
      <c r="AD55" s="24"/>
      <c r="AE55" s="24"/>
      <c r="AF55" s="62"/>
      <c r="AG55" s="24"/>
      <c r="AH55" s="24"/>
      <c r="AI55" s="24"/>
      <c r="AJ55" s="62"/>
      <c r="AK55" s="24"/>
      <c r="AL55" s="24"/>
      <c r="AM55" s="24"/>
      <c r="AN55" s="62"/>
      <c r="AO55" s="24"/>
      <c r="AP55" s="24"/>
      <c r="AQ55" s="24"/>
      <c r="AR55" s="62"/>
      <c r="AS55" s="24"/>
      <c r="AT55" s="24"/>
      <c r="AU55" s="24"/>
      <c r="AV55" s="62"/>
      <c r="AW55" s="24"/>
      <c r="AX55" s="24"/>
      <c r="AZ55" s="24"/>
      <c r="BA55" s="62"/>
      <c r="BB55" s="24"/>
      <c r="BC55" s="24"/>
      <c r="BD55" s="24"/>
      <c r="BE55" s="22"/>
      <c r="BF55" s="24"/>
      <c r="BG55" s="62"/>
      <c r="BH55" s="24"/>
      <c r="BI55" s="24"/>
      <c r="BJ55" s="24"/>
      <c r="BK55" s="22"/>
      <c r="BL55" s="24"/>
      <c r="BM55" s="62"/>
      <c r="BN55" s="24"/>
      <c r="BO55" s="24"/>
      <c r="BP55" s="24"/>
      <c r="BQ55" s="22"/>
    </row>
    <row r="56" spans="2:69" ht="12.75">
      <c r="B56" s="24"/>
      <c r="C56" s="62"/>
      <c r="D56" s="25"/>
      <c r="E56" s="9"/>
      <c r="F56" s="9"/>
      <c r="G56" s="6"/>
      <c r="H56" s="6"/>
      <c r="I56" s="19"/>
      <c r="J56" s="24"/>
      <c r="K56" s="24"/>
      <c r="L56" s="62"/>
      <c r="M56" s="24"/>
      <c r="N56" s="24"/>
      <c r="O56" s="24"/>
      <c r="P56" s="62"/>
      <c r="Q56" s="24"/>
      <c r="R56" s="24"/>
      <c r="S56" s="24"/>
      <c r="T56" s="62"/>
      <c r="U56" s="24"/>
      <c r="V56" s="24"/>
      <c r="W56" s="24"/>
      <c r="X56" s="62"/>
      <c r="Y56" s="24"/>
      <c r="Z56" s="24"/>
      <c r="AA56" s="24"/>
      <c r="AB56" s="62"/>
      <c r="AC56" s="24"/>
      <c r="AD56" s="24"/>
      <c r="AE56" s="24"/>
      <c r="AF56" s="62"/>
      <c r="AG56" s="24"/>
      <c r="AH56" s="24"/>
      <c r="AI56" s="24"/>
      <c r="AJ56" s="62"/>
      <c r="AK56" s="24"/>
      <c r="AL56" s="24"/>
      <c r="AM56" s="24"/>
      <c r="AN56" s="62"/>
      <c r="AO56" s="24"/>
      <c r="AP56" s="24"/>
      <c r="AQ56" s="24"/>
      <c r="AR56" s="62"/>
      <c r="AS56" s="24"/>
      <c r="AT56" s="24"/>
      <c r="AU56" s="24"/>
      <c r="AV56" s="62"/>
      <c r="AW56" s="24"/>
      <c r="AX56" s="24"/>
      <c r="AZ56" s="24"/>
      <c r="BA56" s="62"/>
      <c r="BB56" s="24"/>
      <c r="BC56" s="24"/>
      <c r="BD56" s="24"/>
      <c r="BE56" s="22"/>
      <c r="BF56" s="24"/>
      <c r="BG56" s="62"/>
      <c r="BH56" s="24"/>
      <c r="BI56" s="24"/>
      <c r="BJ56" s="24"/>
      <c r="BK56" s="22"/>
      <c r="BL56" s="24"/>
      <c r="BM56" s="62"/>
      <c r="BN56" s="24"/>
      <c r="BO56" s="24"/>
      <c r="BP56" s="24"/>
      <c r="BQ56" s="22"/>
    </row>
    <row r="57" spans="2:69" ht="12.75">
      <c r="B57" s="24"/>
      <c r="C57" s="62"/>
      <c r="D57" s="20">
        <v>1000</v>
      </c>
      <c r="E57" s="24"/>
      <c r="F57" s="32">
        <f>F54+F53+F52+F51/D51*(D51-E51+1000)</f>
        <v>2467875</v>
      </c>
      <c r="G57" s="22">
        <f>F57/1.95583</f>
        <v>1261804.4513071177</v>
      </c>
      <c r="H57" s="24">
        <f>F57*1000/D57</f>
        <v>2467875</v>
      </c>
      <c r="I57" s="49">
        <f>H57/1.95583</f>
        <v>1261804.4513071177</v>
      </c>
      <c r="J57" s="24"/>
      <c r="K57" s="24"/>
      <c r="L57" s="62"/>
      <c r="M57" s="24"/>
      <c r="N57" s="24"/>
      <c r="O57" s="24"/>
      <c r="P57" s="62"/>
      <c r="Q57" s="24"/>
      <c r="R57" s="24"/>
      <c r="S57" s="24"/>
      <c r="T57" s="62"/>
      <c r="U57" s="24"/>
      <c r="V57" s="24"/>
      <c r="W57" s="24"/>
      <c r="X57" s="62"/>
      <c r="Y57" s="24"/>
      <c r="Z57" s="24"/>
      <c r="AA57" s="24"/>
      <c r="AB57" s="62"/>
      <c r="AC57" s="24"/>
      <c r="AD57" s="24"/>
      <c r="AE57" s="24"/>
      <c r="AF57" s="62"/>
      <c r="AG57" s="24"/>
      <c r="AH57" s="24"/>
      <c r="AI57" s="24"/>
      <c r="AJ57" s="62"/>
      <c r="AK57" s="24"/>
      <c r="AL57" s="24"/>
      <c r="AM57" s="24"/>
      <c r="AN57" s="62"/>
      <c r="AO57" s="24"/>
      <c r="AP57" s="24"/>
      <c r="AQ57" s="24"/>
      <c r="AR57" s="62"/>
      <c r="AS57" s="24"/>
      <c r="AT57" s="24"/>
      <c r="AU57" s="24"/>
      <c r="AV57" s="62"/>
      <c r="AW57" s="24"/>
      <c r="AX57" s="24"/>
      <c r="AZ57" s="24"/>
      <c r="BA57" s="62"/>
      <c r="BB57" s="24"/>
      <c r="BC57" s="24"/>
      <c r="BD57" s="24"/>
      <c r="BE57" s="22"/>
      <c r="BF57" s="24"/>
      <c r="BG57" s="62"/>
      <c r="BH57" s="24"/>
      <c r="BI57" s="24"/>
      <c r="BJ57" s="24"/>
      <c r="BK57" s="22"/>
      <c r="BL57" s="24"/>
      <c r="BM57" s="62"/>
      <c r="BN57" s="24"/>
      <c r="BO57" s="24"/>
      <c r="BP57" s="24"/>
      <c r="BQ57" s="22"/>
    </row>
    <row r="58" spans="2:69" ht="12.75">
      <c r="B58" s="24"/>
      <c r="C58" s="62"/>
      <c r="D58" s="20">
        <v>10000</v>
      </c>
      <c r="E58" s="24"/>
      <c r="F58" s="24">
        <f>SUM(F$50:F$54)+F$49/D$49*(D$49-E$49+11000)-F$57</f>
        <v>7925300.862068966</v>
      </c>
      <c r="G58" s="22">
        <f>F58/1.95583</f>
        <v>4052141.9868132537</v>
      </c>
      <c r="H58" s="24">
        <f>F58*1000/D58</f>
        <v>792530.0862068966</v>
      </c>
      <c r="I58" s="49">
        <f>H58/1.95583</f>
        <v>405214.19868132536</v>
      </c>
      <c r="J58" s="24"/>
      <c r="K58" s="24"/>
      <c r="L58" s="62"/>
      <c r="M58" s="24"/>
      <c r="N58" s="24"/>
      <c r="O58" s="24"/>
      <c r="P58" s="62"/>
      <c r="Q58" s="24"/>
      <c r="R58" s="24"/>
      <c r="S58" s="24"/>
      <c r="T58" s="62"/>
      <c r="U58" s="24"/>
      <c r="V58" s="24"/>
      <c r="W58" s="24"/>
      <c r="X58" s="62"/>
      <c r="Y58" s="24"/>
      <c r="Z58" s="24"/>
      <c r="AA58" s="24"/>
      <c r="AB58" s="62"/>
      <c r="AC58" s="24"/>
      <c r="AD58" s="24"/>
      <c r="AE58" s="24"/>
      <c r="AF58" s="62"/>
      <c r="AG58" s="24"/>
      <c r="AH58" s="24"/>
      <c r="AI58" s="24"/>
      <c r="AJ58" s="62"/>
      <c r="AK58" s="24"/>
      <c r="AL58" s="24"/>
      <c r="AM58" s="24"/>
      <c r="AN58" s="62"/>
      <c r="AO58" s="24"/>
      <c r="AP58" s="24"/>
      <c r="AQ58" s="24"/>
      <c r="AR58" s="62"/>
      <c r="AS58" s="24"/>
      <c r="AT58" s="24"/>
      <c r="AU58" s="24"/>
      <c r="AV58" s="62"/>
      <c r="AW58" s="24"/>
      <c r="AX58" s="24"/>
      <c r="AZ58" s="24"/>
      <c r="BA58" s="62"/>
      <c r="BB58" s="24"/>
      <c r="BC58" s="24"/>
      <c r="BD58" s="24"/>
      <c r="BE58" s="22"/>
      <c r="BF58" s="24"/>
      <c r="BG58" s="62"/>
      <c r="BH58" s="24"/>
      <c r="BI58" s="24"/>
      <c r="BJ58" s="24"/>
      <c r="BK58" s="22"/>
      <c r="BL58" s="24"/>
      <c r="BM58" s="62"/>
      <c r="BN58" s="24"/>
      <c r="BO58" s="24"/>
      <c r="BP58" s="24"/>
      <c r="BQ58" s="22"/>
    </row>
    <row r="59" spans="2:69" ht="12.75">
      <c r="B59" s="24"/>
      <c r="C59" s="62"/>
      <c r="D59" s="20">
        <v>100000</v>
      </c>
      <c r="E59" s="24"/>
      <c r="F59" s="24">
        <f>SUM(F$48:F$54)+F$47/D$47*(D$47-E$47+111000)-F$57-F$58</f>
        <v>16512124.137931034</v>
      </c>
      <c r="G59" s="22">
        <f>F59/1.95583</f>
        <v>8442515.013028245</v>
      </c>
      <c r="H59" s="24">
        <f>F59*1000/D59</f>
        <v>165121.24137931035</v>
      </c>
      <c r="I59" s="49">
        <f>H59/1.95583</f>
        <v>84425.15013028246</v>
      </c>
      <c r="J59" s="24"/>
      <c r="K59" s="24"/>
      <c r="L59" s="62"/>
      <c r="M59" s="24"/>
      <c r="N59" s="24"/>
      <c r="O59" s="24"/>
      <c r="P59" s="62"/>
      <c r="Q59" s="24"/>
      <c r="R59" s="24"/>
      <c r="S59" s="24"/>
      <c r="T59" s="62"/>
      <c r="U59" s="24"/>
      <c r="V59" s="24"/>
      <c r="W59" s="24"/>
      <c r="X59" s="62"/>
      <c r="Y59" s="24"/>
      <c r="Z59" s="24"/>
      <c r="AA59" s="24"/>
      <c r="AB59" s="62"/>
      <c r="AC59" s="24"/>
      <c r="AD59" s="24"/>
      <c r="AE59" s="24"/>
      <c r="AF59" s="62"/>
      <c r="AG59" s="24"/>
      <c r="AH59" s="24"/>
      <c r="AI59" s="24"/>
      <c r="AJ59" s="62"/>
      <c r="AK59" s="24"/>
      <c r="AL59" s="24"/>
      <c r="AM59" s="24"/>
      <c r="AN59" s="62"/>
      <c r="AO59" s="24"/>
      <c r="AP59" s="24"/>
      <c r="AQ59" s="24"/>
      <c r="AR59" s="62"/>
      <c r="AS59" s="24"/>
      <c r="AT59" s="24"/>
      <c r="AU59" s="24"/>
      <c r="AV59" s="62"/>
      <c r="AW59" s="24"/>
      <c r="AX59" s="24"/>
      <c r="AZ59" s="24"/>
      <c r="BA59" s="62"/>
      <c r="BB59" s="24"/>
      <c r="BC59" s="24"/>
      <c r="BD59" s="24"/>
      <c r="BE59" s="22"/>
      <c r="BF59" s="24"/>
      <c r="BG59" s="62"/>
      <c r="BH59" s="24"/>
      <c r="BI59" s="24"/>
      <c r="BJ59" s="24"/>
      <c r="BK59" s="22"/>
      <c r="BL59" s="24"/>
      <c r="BM59" s="62"/>
      <c r="BN59" s="24"/>
      <c r="BO59" s="24"/>
      <c r="BP59" s="24"/>
      <c r="BQ59" s="22"/>
    </row>
    <row r="60" spans="2:69" ht="12.75">
      <c r="B60" s="24"/>
      <c r="C60" s="62"/>
      <c r="D60" s="20">
        <v>1000000</v>
      </c>
      <c r="E60" s="24"/>
      <c r="F60" s="24">
        <f>SUM(F$47:F$54)+F$46/D$46*(D$46-E$46+1111000)-F$57-F$58-F$59</f>
        <v>23869609.636980385</v>
      </c>
      <c r="G60" s="22">
        <f>F60/1.95583</f>
        <v>12204337.614711087</v>
      </c>
      <c r="H60" s="24">
        <f>F60*1000/D60</f>
        <v>23869.609636980385</v>
      </c>
      <c r="I60" s="49">
        <f>H60/1.95583</f>
        <v>12204.337614711087</v>
      </c>
      <c r="J60" s="24"/>
      <c r="K60" s="24"/>
      <c r="L60" s="62"/>
      <c r="M60" s="24"/>
      <c r="N60" s="24"/>
      <c r="O60" s="24"/>
      <c r="P60" s="62"/>
      <c r="Q60" s="24"/>
      <c r="R60" s="24"/>
      <c r="S60" s="24"/>
      <c r="T60" s="62"/>
      <c r="U60" s="24"/>
      <c r="V60" s="24"/>
      <c r="W60" s="24"/>
      <c r="X60" s="62"/>
      <c r="Y60" s="24"/>
      <c r="Z60" s="24"/>
      <c r="AA60" s="24"/>
      <c r="AB60" s="62"/>
      <c r="AC60" s="24"/>
      <c r="AD60" s="24"/>
      <c r="AE60" s="24"/>
      <c r="AF60" s="62"/>
      <c r="AG60" s="24"/>
      <c r="AH60" s="24"/>
      <c r="AI60" s="24"/>
      <c r="AJ60" s="62"/>
      <c r="AK60" s="24"/>
      <c r="AL60" s="24"/>
      <c r="AM60" s="24"/>
      <c r="AN60" s="62"/>
      <c r="AO60" s="24"/>
      <c r="AP60" s="24"/>
      <c r="AQ60" s="24"/>
      <c r="AR60" s="62"/>
      <c r="AS60" s="24"/>
      <c r="AT60" s="24"/>
      <c r="AU60" s="24"/>
      <c r="AV60" s="62"/>
      <c r="AW60" s="24"/>
      <c r="AX60" s="24"/>
      <c r="AZ60" s="24"/>
      <c r="BA60" s="62"/>
      <c r="BB60" s="24"/>
      <c r="BC60" s="24"/>
      <c r="BD60" s="24"/>
      <c r="BE60" s="22"/>
      <c r="BF60" s="24"/>
      <c r="BG60" s="62"/>
      <c r="BH60" s="24"/>
      <c r="BI60" s="24"/>
      <c r="BJ60" s="24"/>
      <c r="BK60" s="22"/>
      <c r="BL60" s="24"/>
      <c r="BM60" s="62"/>
      <c r="BN60" s="24"/>
      <c r="BO60" s="24"/>
      <c r="BP60" s="24"/>
      <c r="BQ60" s="22"/>
    </row>
    <row r="61" spans="2:69" ht="12.75">
      <c r="B61" s="24"/>
      <c r="C61" s="62"/>
      <c r="D61" s="26">
        <f>D55-SUM(D57:D60)</f>
        <v>19536400</v>
      </c>
      <c r="E61" s="46">
        <f>D61/D55</f>
        <v>0.946191772329688</v>
      </c>
      <c r="F61" s="27">
        <f>F55-SUM(F57:F60)</f>
        <v>204801790.36301962</v>
      </c>
      <c r="G61" s="66">
        <f>F61/1.95583</f>
        <v>104713492.66706187</v>
      </c>
      <c r="H61" s="27">
        <f>F61*1000/D61</f>
        <v>10483.087486078275</v>
      </c>
      <c r="I61" s="50">
        <f>H61/1.95583</f>
        <v>5359.917521501498</v>
      </c>
      <c r="J61" s="24"/>
      <c r="K61" s="24"/>
      <c r="L61" s="62"/>
      <c r="M61" s="24"/>
      <c r="N61" s="24"/>
      <c r="O61" s="24"/>
      <c r="P61" s="62"/>
      <c r="Q61" s="24"/>
      <c r="R61" s="24"/>
      <c r="S61" s="24"/>
      <c r="T61" s="62"/>
      <c r="U61" s="24"/>
      <c r="V61" s="24"/>
      <c r="W61" s="24"/>
      <c r="X61" s="62"/>
      <c r="Y61" s="24"/>
      <c r="Z61" s="24"/>
      <c r="AA61" s="24"/>
      <c r="AB61" s="62"/>
      <c r="AC61" s="24"/>
      <c r="AD61" s="24"/>
      <c r="AE61" s="24"/>
      <c r="AF61" s="62"/>
      <c r="AG61" s="24"/>
      <c r="AH61" s="24"/>
      <c r="AI61" s="24"/>
      <c r="AJ61" s="62"/>
      <c r="AK61" s="24"/>
      <c r="AL61" s="24"/>
      <c r="AM61" s="24"/>
      <c r="AN61" s="62"/>
      <c r="AO61" s="24"/>
      <c r="AP61" s="24"/>
      <c r="AQ61" s="24"/>
      <c r="AR61" s="62"/>
      <c r="AS61" s="24"/>
      <c r="AT61" s="24"/>
      <c r="AU61" s="24"/>
      <c r="AV61" s="62"/>
      <c r="AW61" s="24"/>
      <c r="AX61" s="24"/>
      <c r="AZ61" s="24"/>
      <c r="BA61" s="62"/>
      <c r="BB61" s="24"/>
      <c r="BC61" s="24"/>
      <c r="BD61" s="24"/>
      <c r="BE61" s="22"/>
      <c r="BF61" s="24"/>
      <c r="BG61" s="62"/>
      <c r="BH61" s="24"/>
      <c r="BI61" s="24"/>
      <c r="BJ61" s="24"/>
      <c r="BK61" s="22"/>
      <c r="BL61" s="24"/>
      <c r="BM61" s="62"/>
      <c r="BN61" s="24"/>
      <c r="BO61" s="24"/>
      <c r="BP61" s="24"/>
      <c r="BQ61" s="22"/>
    </row>
    <row r="62" spans="2:68" ht="12.75">
      <c r="B62" s="24"/>
      <c r="C62" s="62"/>
      <c r="D62" s="24"/>
      <c r="E62" s="24"/>
      <c r="F62" s="24"/>
      <c r="G62" s="62"/>
      <c r="H62" s="24"/>
      <c r="I62" s="24"/>
      <c r="J62" s="24"/>
      <c r="K62" s="62"/>
      <c r="L62" s="24"/>
      <c r="M62" s="24"/>
      <c r="N62" s="24"/>
      <c r="O62" s="62"/>
      <c r="P62" s="24"/>
      <c r="Q62" s="24"/>
      <c r="R62" s="24"/>
      <c r="S62" s="62"/>
      <c r="T62" s="24"/>
      <c r="U62" s="24"/>
      <c r="V62" s="24"/>
      <c r="W62" s="62"/>
      <c r="X62" s="24"/>
      <c r="Y62" s="24"/>
      <c r="Z62" s="24"/>
      <c r="AA62" s="62"/>
      <c r="AB62" s="24"/>
      <c r="AC62" s="24"/>
      <c r="AD62" s="24"/>
      <c r="AE62" s="62"/>
      <c r="AF62" s="24"/>
      <c r="AG62" s="24"/>
      <c r="AH62" s="24"/>
      <c r="AI62" s="62"/>
      <c r="AJ62" s="24"/>
      <c r="AK62" s="24"/>
      <c r="AL62" s="24"/>
      <c r="AM62" s="62"/>
      <c r="AN62" s="24"/>
      <c r="AO62" s="24"/>
      <c r="AP62" s="24"/>
      <c r="AQ62" s="62"/>
      <c r="AR62" s="24"/>
      <c r="AS62" s="24"/>
      <c r="AT62" s="24"/>
      <c r="AU62" s="62"/>
      <c r="AV62" s="24"/>
      <c r="AW62" s="24"/>
      <c r="AY62" s="24"/>
      <c r="AZ62" s="62"/>
      <c r="BA62" s="24"/>
      <c r="BB62" s="24"/>
      <c r="BC62" s="24"/>
      <c r="BD62" s="22"/>
      <c r="BE62" s="24"/>
      <c r="BF62" s="62"/>
      <c r="BG62" s="24"/>
      <c r="BH62" s="24"/>
      <c r="BI62" s="24"/>
      <c r="BJ62" s="22"/>
      <c r="BK62" s="24"/>
      <c r="BL62" s="62"/>
      <c r="BM62" s="24"/>
      <c r="BN62" s="24"/>
      <c r="BO62" s="24"/>
      <c r="BP62" s="22"/>
    </row>
    <row r="63" spans="1:69" ht="12.75">
      <c r="A63" s="29"/>
      <c r="B63" s="24"/>
      <c r="C63" s="62"/>
      <c r="D63" s="29" t="s">
        <v>45</v>
      </c>
      <c r="E63" s="65">
        <v>1971</v>
      </c>
      <c r="F63" s="31" t="s">
        <v>16</v>
      </c>
      <c r="G63" s="15"/>
      <c r="H63" s="15"/>
      <c r="I63" s="15"/>
      <c r="J63" s="16"/>
      <c r="K63" s="24"/>
      <c r="L63" s="62"/>
      <c r="M63" s="24"/>
      <c r="N63" s="24"/>
      <c r="O63" s="24"/>
      <c r="P63" s="62"/>
      <c r="Q63" s="24"/>
      <c r="R63" s="24"/>
      <c r="S63" s="24"/>
      <c r="T63" s="62"/>
      <c r="U63" s="24"/>
      <c r="V63" s="24"/>
      <c r="W63" s="24"/>
      <c r="X63" s="62"/>
      <c r="Y63" s="24"/>
      <c r="Z63" s="24"/>
      <c r="AA63" s="24"/>
      <c r="AB63" s="62"/>
      <c r="AC63" s="24"/>
      <c r="AD63" s="24"/>
      <c r="AE63" s="24"/>
      <c r="AF63" s="62"/>
      <c r="AG63" s="24"/>
      <c r="AH63" s="24"/>
      <c r="AI63" s="24"/>
      <c r="AJ63" s="62"/>
      <c r="AK63" s="24"/>
      <c r="AL63" s="24"/>
      <c r="AM63" s="24"/>
      <c r="AN63" s="62"/>
      <c r="AO63" s="24"/>
      <c r="AP63" s="24"/>
      <c r="AQ63" s="24"/>
      <c r="AR63" s="62"/>
      <c r="AS63" s="24"/>
      <c r="AT63" s="24"/>
      <c r="AU63" s="24"/>
      <c r="AV63" s="62"/>
      <c r="AW63" s="24"/>
      <c r="AX63" s="24"/>
      <c r="AZ63" s="24"/>
      <c r="BA63" s="62"/>
      <c r="BB63" s="24"/>
      <c r="BC63" s="24"/>
      <c r="BD63" s="24"/>
      <c r="BE63" s="22"/>
      <c r="BF63" s="24"/>
      <c r="BG63" s="62"/>
      <c r="BH63" s="24"/>
      <c r="BI63" s="24"/>
      <c r="BJ63" s="24"/>
      <c r="BK63" s="22"/>
      <c r="BL63" s="24"/>
      <c r="BM63" s="62"/>
      <c r="BN63" s="24"/>
      <c r="BO63" s="24"/>
      <c r="BP63" s="24"/>
      <c r="BQ63" s="22"/>
    </row>
    <row r="64" spans="2:69" ht="12.75">
      <c r="B64" s="24"/>
      <c r="C64" s="62"/>
      <c r="D64" s="29" t="s">
        <v>0</v>
      </c>
      <c r="E64" s="17" t="s">
        <v>4</v>
      </c>
      <c r="F64" s="6"/>
      <c r="G64" s="18" t="s">
        <v>5</v>
      </c>
      <c r="H64" s="18" t="s">
        <v>46</v>
      </c>
      <c r="I64" s="6" t="s">
        <v>3</v>
      </c>
      <c r="J64" s="19" t="s">
        <v>47</v>
      </c>
      <c r="K64" s="24"/>
      <c r="L64" s="62"/>
      <c r="M64" s="24"/>
      <c r="N64" s="24"/>
      <c r="O64" s="24"/>
      <c r="P64" s="62"/>
      <c r="Q64" s="24"/>
      <c r="R64" s="24"/>
      <c r="S64" s="24"/>
      <c r="T64" s="62"/>
      <c r="U64" s="24"/>
      <c r="V64" s="24"/>
      <c r="W64" s="24"/>
      <c r="X64" s="62"/>
      <c r="Y64" s="24"/>
      <c r="Z64" s="24"/>
      <c r="AA64" s="24"/>
      <c r="AB64" s="62"/>
      <c r="AC64" s="24"/>
      <c r="AD64" s="24"/>
      <c r="AE64" s="24"/>
      <c r="AF64" s="62"/>
      <c r="AG64" s="24"/>
      <c r="AH64" s="24"/>
      <c r="AI64" s="24"/>
      <c r="AJ64" s="62"/>
      <c r="AK64" s="24"/>
      <c r="AL64" s="24"/>
      <c r="AM64" s="24"/>
      <c r="AN64" s="62"/>
      <c r="AO64" s="24"/>
      <c r="AP64" s="24"/>
      <c r="AQ64" s="24"/>
      <c r="AR64" s="62"/>
      <c r="AS64" s="24"/>
      <c r="AT64" s="24"/>
      <c r="AU64" s="24"/>
      <c r="AV64" s="62"/>
      <c r="AW64" s="24"/>
      <c r="AX64" s="24"/>
      <c r="AZ64" s="24"/>
      <c r="BA64" s="62"/>
      <c r="BB64" s="24"/>
      <c r="BC64" s="24"/>
      <c r="BD64" s="24"/>
      <c r="BE64" s="22"/>
      <c r="BF64" s="24"/>
      <c r="BG64" s="62"/>
      <c r="BH64" s="24"/>
      <c r="BI64" s="24"/>
      <c r="BJ64" s="24"/>
      <c r="BK64" s="22"/>
      <c r="BL64" s="24"/>
      <c r="BM64" s="62"/>
      <c r="BN64" s="24"/>
      <c r="BO64" s="24"/>
      <c r="BP64" s="24"/>
      <c r="BQ64" s="22"/>
    </row>
    <row r="65" spans="1:69" ht="12.75">
      <c r="A65" s="1"/>
      <c r="B65" s="24"/>
      <c r="C65" s="62"/>
      <c r="D65" s="67">
        <v>1</v>
      </c>
      <c r="E65" s="20">
        <v>1258400</v>
      </c>
      <c r="F65" s="21">
        <f aca="true" t="shared" si="12" ref="F65:F71">F66+E65</f>
        <v>22335720</v>
      </c>
      <c r="G65" s="22">
        <v>-1280100</v>
      </c>
      <c r="H65" s="22">
        <f>G65/1.95583</f>
        <v>-654504.7371192793</v>
      </c>
      <c r="I65" s="9">
        <f aca="true" t="shared" si="13" ref="I65:I75">G65*1000/E65</f>
        <v>-1017.2441195168468</v>
      </c>
      <c r="J65" s="49">
        <f>I65/1.95583</f>
        <v>-520.1086595035596</v>
      </c>
      <c r="K65" s="24"/>
      <c r="L65" s="62"/>
      <c r="M65" s="24"/>
      <c r="N65" s="24"/>
      <c r="O65" s="24"/>
      <c r="P65" s="62"/>
      <c r="Q65" s="24"/>
      <c r="R65" s="24"/>
      <c r="S65" s="24"/>
      <c r="T65" s="62"/>
      <c r="U65" s="24"/>
      <c r="V65" s="24"/>
      <c r="W65" s="24"/>
      <c r="X65" s="62"/>
      <c r="Y65" s="24"/>
      <c r="Z65" s="24"/>
      <c r="AA65" s="24"/>
      <c r="AB65" s="62"/>
      <c r="AC65" s="24"/>
      <c r="AD65" s="24"/>
      <c r="AE65" s="24"/>
      <c r="AF65" s="62"/>
      <c r="AG65" s="24"/>
      <c r="AH65" s="24"/>
      <c r="AI65" s="24"/>
      <c r="AJ65" s="62"/>
      <c r="AK65" s="24"/>
      <c r="AL65" s="24"/>
      <c r="AM65" s="24"/>
      <c r="AN65" s="62"/>
      <c r="AO65" s="24"/>
      <c r="AP65" s="24"/>
      <c r="AQ65" s="24"/>
      <c r="AR65" s="62"/>
      <c r="AS65" s="24"/>
      <c r="AT65" s="24"/>
      <c r="AU65" s="24"/>
      <c r="AV65" s="62"/>
      <c r="AW65" s="24"/>
      <c r="AX65" s="24"/>
      <c r="AZ65" s="24"/>
      <c r="BA65" s="62"/>
      <c r="BB65" s="24"/>
      <c r="BC65" s="24"/>
      <c r="BD65" s="24"/>
      <c r="BE65" s="22"/>
      <c r="BF65" s="24"/>
      <c r="BG65" s="62"/>
      <c r="BH65" s="24"/>
      <c r="BI65" s="24"/>
      <c r="BJ65" s="24"/>
      <c r="BK65" s="22"/>
      <c r="BL65" s="24"/>
      <c r="BM65" s="62"/>
      <c r="BN65" s="24"/>
      <c r="BO65" s="24"/>
      <c r="BP65" s="24"/>
      <c r="BQ65" s="22"/>
    </row>
    <row r="66" spans="1:69" ht="12.75">
      <c r="A66" s="1"/>
      <c r="B66" s="24"/>
      <c r="C66" s="62"/>
      <c r="D66" s="67">
        <v>25000</v>
      </c>
      <c r="E66" s="20">
        <f>963600+772000+858500+1691000+3113700+3830700+6032900</f>
        <v>17262400</v>
      </c>
      <c r="F66" s="21">
        <f t="shared" si="12"/>
        <v>21077320</v>
      </c>
      <c r="G66" s="22">
        <f>662600+1700000+3482500+11131100+31594500+53794400+119963700</f>
        <v>222328800</v>
      </c>
      <c r="H66" s="22">
        <f aca="true" t="shared" si="14" ref="H66:H74">G66/1.95583</f>
        <v>113674910.39609782</v>
      </c>
      <c r="I66" s="9">
        <f t="shared" si="13"/>
        <v>12879.367874687181</v>
      </c>
      <c r="J66" s="49">
        <f aca="true" t="shared" si="15" ref="J66:J74">I66/1.95583</f>
        <v>6585.116229266951</v>
      </c>
      <c r="K66" s="24"/>
      <c r="L66" s="62"/>
      <c r="M66" s="24"/>
      <c r="N66" s="24"/>
      <c r="O66" s="24"/>
      <c r="P66" s="62"/>
      <c r="Q66" s="24"/>
      <c r="R66" s="24"/>
      <c r="S66" s="24"/>
      <c r="T66" s="62"/>
      <c r="U66" s="24"/>
      <c r="V66" s="24"/>
      <c r="W66" s="24"/>
      <c r="X66" s="62"/>
      <c r="Y66" s="24"/>
      <c r="Z66" s="24"/>
      <c r="AA66" s="24"/>
      <c r="AB66" s="62"/>
      <c r="AC66" s="24"/>
      <c r="AD66" s="24"/>
      <c r="AE66" s="24"/>
      <c r="AF66" s="62"/>
      <c r="AG66" s="24"/>
      <c r="AH66" s="24"/>
      <c r="AI66" s="24"/>
      <c r="AJ66" s="62"/>
      <c r="AK66" s="24"/>
      <c r="AL66" s="24"/>
      <c r="AM66" s="24"/>
      <c r="AN66" s="62"/>
      <c r="AO66" s="24"/>
      <c r="AP66" s="24"/>
      <c r="AQ66" s="24"/>
      <c r="AR66" s="62"/>
      <c r="AS66" s="24"/>
      <c r="AT66" s="24"/>
      <c r="AU66" s="24"/>
      <c r="AV66" s="62"/>
      <c r="AW66" s="24"/>
      <c r="AX66" s="24"/>
      <c r="AZ66" s="24"/>
      <c r="BA66" s="62"/>
      <c r="BB66" s="24"/>
      <c r="BC66" s="24"/>
      <c r="BD66" s="24"/>
      <c r="BE66" s="22"/>
      <c r="BF66" s="24"/>
      <c r="BG66" s="62"/>
      <c r="BH66" s="24"/>
      <c r="BI66" s="24"/>
      <c r="BJ66" s="24"/>
      <c r="BK66" s="22"/>
      <c r="BL66" s="24"/>
      <c r="BM66" s="62"/>
      <c r="BN66" s="24"/>
      <c r="BO66" s="24"/>
      <c r="BP66" s="24"/>
      <c r="BQ66" s="22"/>
    </row>
    <row r="67" spans="1:69" ht="12.75">
      <c r="A67" s="1"/>
      <c r="B67" s="24"/>
      <c r="C67" s="62"/>
      <c r="D67" s="67">
        <v>100000</v>
      </c>
      <c r="E67" s="20">
        <f>3183900+325700+111400</f>
        <v>3621000</v>
      </c>
      <c r="F67" s="21">
        <f t="shared" si="12"/>
        <v>3814920</v>
      </c>
      <c r="G67" s="22">
        <f>103375100+19403000+9572800</f>
        <v>132350900</v>
      </c>
      <c r="H67" s="22">
        <f t="shared" si="14"/>
        <v>67669940.63901259</v>
      </c>
      <c r="I67" s="9">
        <f t="shared" si="13"/>
        <v>36550.925158795915</v>
      </c>
      <c r="J67" s="49">
        <f t="shared" si="15"/>
        <v>18688.191283902954</v>
      </c>
      <c r="K67" s="24"/>
      <c r="L67" s="62"/>
      <c r="M67" s="24"/>
      <c r="N67" s="24"/>
      <c r="O67" s="24"/>
      <c r="P67" s="62"/>
      <c r="Q67" s="24"/>
      <c r="R67" s="24"/>
      <c r="S67" s="24"/>
      <c r="T67" s="62"/>
      <c r="U67" s="24"/>
      <c r="V67" s="24"/>
      <c r="W67" s="24"/>
      <c r="X67" s="62"/>
      <c r="Y67" s="24"/>
      <c r="Z67" s="24"/>
      <c r="AA67" s="24"/>
      <c r="AB67" s="62"/>
      <c r="AC67" s="24"/>
      <c r="AD67" s="24"/>
      <c r="AE67" s="24"/>
      <c r="AF67" s="62"/>
      <c r="AG67" s="24"/>
      <c r="AH67" s="24"/>
      <c r="AI67" s="24"/>
      <c r="AJ67" s="62"/>
      <c r="AK67" s="24"/>
      <c r="AL67" s="24"/>
      <c r="AM67" s="24"/>
      <c r="AN67" s="62"/>
      <c r="AO67" s="24"/>
      <c r="AP67" s="24"/>
      <c r="AQ67" s="24"/>
      <c r="AR67" s="62"/>
      <c r="AS67" s="24"/>
      <c r="AT67" s="24"/>
      <c r="AU67" s="24"/>
      <c r="AV67" s="62"/>
      <c r="AW67" s="24"/>
      <c r="AX67" s="24"/>
      <c r="AZ67" s="24"/>
      <c r="BA67" s="62"/>
      <c r="BB67" s="24"/>
      <c r="BC67" s="24"/>
      <c r="BD67" s="24"/>
      <c r="BE67" s="22"/>
      <c r="BF67" s="24"/>
      <c r="BG67" s="62"/>
      <c r="BH67" s="24"/>
      <c r="BI67" s="24"/>
      <c r="BJ67" s="24"/>
      <c r="BK67" s="22"/>
      <c r="BL67" s="24"/>
      <c r="BM67" s="62"/>
      <c r="BN67" s="24"/>
      <c r="BO67" s="24"/>
      <c r="BP67" s="24"/>
      <c r="BQ67" s="22"/>
    </row>
    <row r="68" spans="1:69" ht="12.75">
      <c r="A68" s="1"/>
      <c r="B68" s="24"/>
      <c r="C68" s="62"/>
      <c r="D68" s="67">
        <v>250000</v>
      </c>
      <c r="E68" s="20">
        <v>154800</v>
      </c>
      <c r="F68" s="21">
        <f t="shared" si="12"/>
        <v>193920</v>
      </c>
      <c r="G68" s="22">
        <v>22658600</v>
      </c>
      <c r="H68" s="22">
        <f t="shared" si="14"/>
        <v>11585158.219272636</v>
      </c>
      <c r="I68" s="9">
        <f t="shared" si="13"/>
        <v>146373.3850129199</v>
      </c>
      <c r="J68" s="49">
        <f t="shared" si="15"/>
        <v>74839.52338031419</v>
      </c>
      <c r="K68" s="24"/>
      <c r="L68" s="62"/>
      <c r="M68" s="24"/>
      <c r="N68" s="24"/>
      <c r="O68" s="24"/>
      <c r="P68" s="62"/>
      <c r="Q68" s="24"/>
      <c r="R68" s="24"/>
      <c r="S68" s="24"/>
      <c r="T68" s="62"/>
      <c r="U68" s="24"/>
      <c r="V68" s="24"/>
      <c r="W68" s="24"/>
      <c r="X68" s="62"/>
      <c r="Y68" s="24"/>
      <c r="Z68" s="24"/>
      <c r="AA68" s="24"/>
      <c r="AB68" s="62"/>
      <c r="AC68" s="24"/>
      <c r="AD68" s="24"/>
      <c r="AE68" s="24"/>
      <c r="AF68" s="62"/>
      <c r="AG68" s="24"/>
      <c r="AH68" s="24"/>
      <c r="AI68" s="24"/>
      <c r="AJ68" s="62"/>
      <c r="AK68" s="24"/>
      <c r="AL68" s="24"/>
      <c r="AM68" s="24"/>
      <c r="AN68" s="62"/>
      <c r="AO68" s="24"/>
      <c r="AP68" s="24"/>
      <c r="AQ68" s="24"/>
      <c r="AR68" s="62"/>
      <c r="AS68" s="24"/>
      <c r="AT68" s="24"/>
      <c r="AU68" s="24"/>
      <c r="AV68" s="62"/>
      <c r="AW68" s="24"/>
      <c r="AX68" s="24"/>
      <c r="AZ68" s="24"/>
      <c r="BA68" s="62"/>
      <c r="BB68" s="24"/>
      <c r="BC68" s="24"/>
      <c r="BD68" s="24"/>
      <c r="BE68" s="22"/>
      <c r="BF68" s="24"/>
      <c r="BG68" s="62"/>
      <c r="BH68" s="24"/>
      <c r="BI68" s="24"/>
      <c r="BJ68" s="24"/>
      <c r="BK68" s="22"/>
      <c r="BL68" s="24"/>
      <c r="BM68" s="62"/>
      <c r="BN68" s="24"/>
      <c r="BO68" s="24"/>
      <c r="BP68" s="24"/>
      <c r="BQ68" s="22"/>
    </row>
    <row r="69" spans="1:69" ht="12.75">
      <c r="A69" s="1"/>
      <c r="B69" s="24"/>
      <c r="C69" s="62"/>
      <c r="D69" s="67">
        <v>500000</v>
      </c>
      <c r="E69" s="20">
        <v>26600</v>
      </c>
      <c r="F69" s="21">
        <f t="shared" si="12"/>
        <v>39120</v>
      </c>
      <c r="G69" s="22">
        <v>8917500</v>
      </c>
      <c r="H69" s="22">
        <f t="shared" si="14"/>
        <v>4559445.350567278</v>
      </c>
      <c r="I69" s="9">
        <f t="shared" si="13"/>
        <v>335244.36090225563</v>
      </c>
      <c r="J69" s="49">
        <f t="shared" si="15"/>
        <v>171407.7199461383</v>
      </c>
      <c r="K69" s="24"/>
      <c r="L69" s="62"/>
      <c r="M69" s="24"/>
      <c r="N69" s="24"/>
      <c r="O69" s="24"/>
      <c r="P69" s="62"/>
      <c r="Q69" s="24"/>
      <c r="R69" s="24"/>
      <c r="S69" s="24"/>
      <c r="T69" s="62"/>
      <c r="U69" s="24"/>
      <c r="V69" s="24"/>
      <c r="W69" s="24"/>
      <c r="X69" s="62"/>
      <c r="Y69" s="24"/>
      <c r="Z69" s="24"/>
      <c r="AA69" s="24"/>
      <c r="AB69" s="62"/>
      <c r="AC69" s="24"/>
      <c r="AD69" s="24"/>
      <c r="AE69" s="24"/>
      <c r="AF69" s="62"/>
      <c r="AG69" s="24"/>
      <c r="AH69" s="24"/>
      <c r="AI69" s="24"/>
      <c r="AJ69" s="62"/>
      <c r="AK69" s="24"/>
      <c r="AL69" s="24"/>
      <c r="AM69" s="24"/>
      <c r="AN69" s="62"/>
      <c r="AO69" s="24"/>
      <c r="AP69" s="24"/>
      <c r="AQ69" s="24"/>
      <c r="AR69" s="62"/>
      <c r="AS69" s="24"/>
      <c r="AT69" s="24"/>
      <c r="AU69" s="24"/>
      <c r="AV69" s="62"/>
      <c r="AW69" s="24"/>
      <c r="AX69" s="24"/>
      <c r="AZ69" s="24"/>
      <c r="BA69" s="62"/>
      <c r="BB69" s="24"/>
      <c r="BC69" s="24"/>
      <c r="BD69" s="24"/>
      <c r="BE69" s="22"/>
      <c r="BF69" s="24"/>
      <c r="BG69" s="62"/>
      <c r="BH69" s="24"/>
      <c r="BI69" s="24"/>
      <c r="BJ69" s="24"/>
      <c r="BK69" s="22"/>
      <c r="BL69" s="24"/>
      <c r="BM69" s="62"/>
      <c r="BN69" s="24"/>
      <c r="BO69" s="24"/>
      <c r="BP69" s="24"/>
      <c r="BQ69" s="22"/>
    </row>
    <row r="70" spans="1:69" ht="12.75">
      <c r="A70" s="1"/>
      <c r="B70" s="24"/>
      <c r="C70" s="62"/>
      <c r="D70" s="67">
        <v>1000000</v>
      </c>
      <c r="E70" s="20">
        <v>8300</v>
      </c>
      <c r="F70" s="21">
        <f t="shared" si="12"/>
        <v>12520</v>
      </c>
      <c r="G70" s="22">
        <v>5632600</v>
      </c>
      <c r="H70" s="22">
        <f t="shared" si="14"/>
        <v>2879902.6500258204</v>
      </c>
      <c r="I70" s="9">
        <f t="shared" si="13"/>
        <v>678626.5060240964</v>
      </c>
      <c r="J70" s="49">
        <f t="shared" si="15"/>
        <v>346976.22289467714</v>
      </c>
      <c r="K70" s="24"/>
      <c r="L70" s="62"/>
      <c r="M70" s="24"/>
      <c r="N70" s="24"/>
      <c r="O70" s="24"/>
      <c r="P70" s="62"/>
      <c r="Q70" s="24"/>
      <c r="R70" s="24"/>
      <c r="S70" s="24"/>
      <c r="T70" s="62"/>
      <c r="U70" s="24"/>
      <c r="V70" s="24"/>
      <c r="W70" s="24"/>
      <c r="X70" s="62"/>
      <c r="Y70" s="24"/>
      <c r="Z70" s="24"/>
      <c r="AA70" s="24"/>
      <c r="AB70" s="62"/>
      <c r="AC70" s="24"/>
      <c r="AD70" s="24"/>
      <c r="AE70" s="24"/>
      <c r="AF70" s="62"/>
      <c r="AG70" s="24"/>
      <c r="AH70" s="24"/>
      <c r="AI70" s="24"/>
      <c r="AJ70" s="62"/>
      <c r="AK70" s="24"/>
      <c r="AL70" s="24"/>
      <c r="AM70" s="24"/>
      <c r="AN70" s="62"/>
      <c r="AO70" s="24"/>
      <c r="AP70" s="24"/>
      <c r="AQ70" s="24"/>
      <c r="AR70" s="62"/>
      <c r="AS70" s="24"/>
      <c r="AT70" s="24"/>
      <c r="AU70" s="24"/>
      <c r="AV70" s="62"/>
      <c r="AW70" s="24"/>
      <c r="AX70" s="24"/>
      <c r="AZ70" s="24"/>
      <c r="BA70" s="62"/>
      <c r="BB70" s="24"/>
      <c r="BC70" s="24"/>
      <c r="BD70" s="24"/>
      <c r="BE70" s="22"/>
      <c r="BF70" s="24"/>
      <c r="BG70" s="62"/>
      <c r="BH70" s="24"/>
      <c r="BI70" s="24"/>
      <c r="BJ70" s="24"/>
      <c r="BK70" s="22"/>
      <c r="BL70" s="24"/>
      <c r="BM70" s="62"/>
      <c r="BN70" s="24"/>
      <c r="BO70" s="24"/>
      <c r="BP70" s="24"/>
      <c r="BQ70" s="22"/>
    </row>
    <row r="71" spans="1:69" ht="12.75">
      <c r="A71" s="1"/>
      <c r="B71" s="24"/>
      <c r="C71" s="62"/>
      <c r="D71" s="67">
        <v>2000000</v>
      </c>
      <c r="E71" s="20">
        <v>2821</v>
      </c>
      <c r="F71" s="21">
        <f t="shared" si="12"/>
        <v>4220</v>
      </c>
      <c r="G71" s="22">
        <v>3838153</v>
      </c>
      <c r="H71" s="22">
        <f t="shared" si="14"/>
        <v>1962416.4676889095</v>
      </c>
      <c r="I71" s="9">
        <f t="shared" si="13"/>
        <v>1360564.693371145</v>
      </c>
      <c r="J71" s="49">
        <f t="shared" si="15"/>
        <v>695645.6815628889</v>
      </c>
      <c r="K71" s="24"/>
      <c r="L71" s="62"/>
      <c r="M71" s="24"/>
      <c r="N71" s="24"/>
      <c r="O71" s="24"/>
      <c r="P71" s="62"/>
      <c r="Q71" s="24"/>
      <c r="R71" s="24"/>
      <c r="S71" s="24"/>
      <c r="T71" s="62"/>
      <c r="U71" s="24"/>
      <c r="V71" s="24"/>
      <c r="W71" s="24"/>
      <c r="X71" s="62"/>
      <c r="Y71" s="24"/>
      <c r="Z71" s="24"/>
      <c r="AA71" s="24"/>
      <c r="AB71" s="62"/>
      <c r="AC71" s="24"/>
      <c r="AD71" s="24"/>
      <c r="AE71" s="24"/>
      <c r="AF71" s="62"/>
      <c r="AG71" s="24"/>
      <c r="AH71" s="24"/>
      <c r="AI71" s="24"/>
      <c r="AJ71" s="62"/>
      <c r="AK71" s="24"/>
      <c r="AL71" s="24"/>
      <c r="AM71" s="24"/>
      <c r="AN71" s="62"/>
      <c r="AO71" s="24"/>
      <c r="AP71" s="24"/>
      <c r="AQ71" s="24"/>
      <c r="AR71" s="62"/>
      <c r="AS71" s="24"/>
      <c r="AT71" s="24"/>
      <c r="AU71" s="24"/>
      <c r="AV71" s="62"/>
      <c r="AW71" s="24"/>
      <c r="AX71" s="24"/>
      <c r="AZ71" s="24"/>
      <c r="BA71" s="62"/>
      <c r="BB71" s="24"/>
      <c r="BC71" s="24"/>
      <c r="BD71" s="24"/>
      <c r="BE71" s="22"/>
      <c r="BF71" s="24"/>
      <c r="BG71" s="62"/>
      <c r="BH71" s="24"/>
      <c r="BI71" s="24"/>
      <c r="BJ71" s="24"/>
      <c r="BK71" s="22"/>
      <c r="BL71" s="24"/>
      <c r="BM71" s="62"/>
      <c r="BN71" s="24"/>
      <c r="BO71" s="24"/>
      <c r="BP71" s="24"/>
      <c r="BQ71" s="22"/>
    </row>
    <row r="72" spans="1:69" ht="12.75">
      <c r="A72" s="1"/>
      <c r="B72" s="24"/>
      <c r="C72" s="62"/>
      <c r="D72" s="67">
        <v>5000000</v>
      </c>
      <c r="E72" s="20">
        <v>1061</v>
      </c>
      <c r="F72" s="21">
        <f>F73+E72</f>
        <v>1399</v>
      </c>
      <c r="G72" s="22">
        <v>3133149</v>
      </c>
      <c r="H72" s="22">
        <f t="shared" si="14"/>
        <v>1601953.6462780507</v>
      </c>
      <c r="I72" s="9">
        <f t="shared" si="13"/>
        <v>2953015.080113101</v>
      </c>
      <c r="J72" s="49">
        <f t="shared" si="15"/>
        <v>1509852.6355118293</v>
      </c>
      <c r="K72" s="24"/>
      <c r="L72" s="62"/>
      <c r="M72" s="24"/>
      <c r="N72" s="24"/>
      <c r="O72" s="24"/>
      <c r="P72" s="62"/>
      <c r="Q72" s="24"/>
      <c r="R72" s="24"/>
      <c r="S72" s="24"/>
      <c r="T72" s="62"/>
      <c r="U72" s="24"/>
      <c r="V72" s="24"/>
      <c r="W72" s="24"/>
      <c r="X72" s="62"/>
      <c r="Y72" s="24"/>
      <c r="Z72" s="24"/>
      <c r="AA72" s="24"/>
      <c r="AB72" s="62"/>
      <c r="AC72" s="24"/>
      <c r="AD72" s="24"/>
      <c r="AE72" s="24"/>
      <c r="AF72" s="62"/>
      <c r="AG72" s="24"/>
      <c r="AH72" s="24"/>
      <c r="AI72" s="24"/>
      <c r="AJ72" s="62"/>
      <c r="AK72" s="24"/>
      <c r="AL72" s="24"/>
      <c r="AM72" s="24"/>
      <c r="AN72" s="62"/>
      <c r="AO72" s="24"/>
      <c r="AP72" s="24"/>
      <c r="AQ72" s="24"/>
      <c r="AR72" s="62"/>
      <c r="AS72" s="24"/>
      <c r="AT72" s="24"/>
      <c r="AU72" s="24"/>
      <c r="AV72" s="62"/>
      <c r="AW72" s="24"/>
      <c r="AX72" s="24"/>
      <c r="AZ72" s="24"/>
      <c r="BA72" s="62"/>
      <c r="BB72" s="24"/>
      <c r="BC72" s="24"/>
      <c r="BD72" s="24"/>
      <c r="BE72" s="22"/>
      <c r="BF72" s="24"/>
      <c r="BG72" s="62"/>
      <c r="BH72" s="24"/>
      <c r="BI72" s="24"/>
      <c r="BJ72" s="24"/>
      <c r="BK72" s="22"/>
      <c r="BL72" s="24"/>
      <c r="BM72" s="62"/>
      <c r="BN72" s="24"/>
      <c r="BO72" s="24"/>
      <c r="BP72" s="24"/>
      <c r="BQ72" s="22"/>
    </row>
    <row r="73" spans="1:69" ht="12.75">
      <c r="A73" s="1"/>
      <c r="B73" s="24"/>
      <c r="C73" s="62"/>
      <c r="D73" s="67">
        <v>10000000</v>
      </c>
      <c r="E73" s="20">
        <v>228</v>
      </c>
      <c r="F73" s="24">
        <f>F74+E73</f>
        <v>338</v>
      </c>
      <c r="G73" s="22">
        <v>1547914</v>
      </c>
      <c r="H73" s="22">
        <f t="shared" si="14"/>
        <v>791435.8609899634</v>
      </c>
      <c r="I73" s="9">
        <f t="shared" si="13"/>
        <v>6789096.49122807</v>
      </c>
      <c r="J73" s="49">
        <f t="shared" si="15"/>
        <v>3471209.916622646</v>
      </c>
      <c r="K73" s="24"/>
      <c r="L73" s="62"/>
      <c r="M73" s="24"/>
      <c r="N73" s="24"/>
      <c r="O73" s="24"/>
      <c r="P73" s="62"/>
      <c r="Q73" s="24"/>
      <c r="R73" s="24"/>
      <c r="S73" s="24"/>
      <c r="T73" s="62"/>
      <c r="U73" s="24"/>
      <c r="V73" s="24"/>
      <c r="W73" s="24"/>
      <c r="X73" s="62"/>
      <c r="Y73" s="24"/>
      <c r="Z73" s="24"/>
      <c r="AA73" s="24"/>
      <c r="AB73" s="62"/>
      <c r="AC73" s="24"/>
      <c r="AD73" s="24"/>
      <c r="AE73" s="24"/>
      <c r="AF73" s="62"/>
      <c r="AG73" s="24"/>
      <c r="AH73" s="24"/>
      <c r="AI73" s="24"/>
      <c r="AJ73" s="62"/>
      <c r="AK73" s="24"/>
      <c r="AL73" s="24"/>
      <c r="AM73" s="24"/>
      <c r="AN73" s="62"/>
      <c r="AO73" s="24"/>
      <c r="AP73" s="24"/>
      <c r="AQ73" s="24"/>
      <c r="AR73" s="62"/>
      <c r="AS73" s="24"/>
      <c r="AT73" s="24"/>
      <c r="AU73" s="24"/>
      <c r="AV73" s="62"/>
      <c r="AW73" s="24"/>
      <c r="AX73" s="24"/>
      <c r="AZ73" s="24"/>
      <c r="BA73" s="62"/>
      <c r="BB73" s="24"/>
      <c r="BC73" s="24"/>
      <c r="BD73" s="24"/>
      <c r="BE73" s="22"/>
      <c r="BF73" s="24"/>
      <c r="BG73" s="62"/>
      <c r="BH73" s="24"/>
      <c r="BI73" s="24"/>
      <c r="BJ73" s="24"/>
      <c r="BK73" s="22"/>
      <c r="BL73" s="24"/>
      <c r="BM73" s="62"/>
      <c r="BN73" s="24"/>
      <c r="BO73" s="24"/>
      <c r="BP73" s="24"/>
      <c r="BQ73" s="22"/>
    </row>
    <row r="74" spans="1:69" ht="12.75">
      <c r="A74" s="29"/>
      <c r="B74" s="24"/>
      <c r="C74" s="62"/>
      <c r="D74" s="29" t="s">
        <v>1</v>
      </c>
      <c r="E74" s="20">
        <v>110</v>
      </c>
      <c r="F74" s="24">
        <f>F75+E74</f>
        <v>110</v>
      </c>
      <c r="G74" s="22">
        <v>2086328</v>
      </c>
      <c r="H74" s="22">
        <f t="shared" si="14"/>
        <v>1066722.5679123441</v>
      </c>
      <c r="I74" s="9">
        <f t="shared" si="13"/>
        <v>18966618.181818184</v>
      </c>
      <c r="J74" s="49">
        <f t="shared" si="15"/>
        <v>9697477.890112221</v>
      </c>
      <c r="K74" s="24"/>
      <c r="L74" s="62"/>
      <c r="M74" s="24"/>
      <c r="N74" s="24"/>
      <c r="O74" s="24"/>
      <c r="P74" s="62"/>
      <c r="Q74" s="24"/>
      <c r="R74" s="24"/>
      <c r="S74" s="24"/>
      <c r="T74" s="62"/>
      <c r="U74" s="24"/>
      <c r="V74" s="24"/>
      <c r="W74" s="24"/>
      <c r="X74" s="62"/>
      <c r="Y74" s="24"/>
      <c r="Z74" s="24"/>
      <c r="AA74" s="24"/>
      <c r="AB74" s="62"/>
      <c r="AC74" s="24"/>
      <c r="AD74" s="24"/>
      <c r="AE74" s="24"/>
      <c r="AF74" s="62"/>
      <c r="AG74" s="24"/>
      <c r="AH74" s="24"/>
      <c r="AI74" s="24"/>
      <c r="AJ74" s="62"/>
      <c r="AK74" s="24"/>
      <c r="AL74" s="24"/>
      <c r="AM74" s="24"/>
      <c r="AN74" s="62"/>
      <c r="AO74" s="24"/>
      <c r="AP74" s="24"/>
      <c r="AQ74" s="24"/>
      <c r="AR74" s="62"/>
      <c r="AS74" s="24"/>
      <c r="AT74" s="24"/>
      <c r="AU74" s="24"/>
      <c r="AV74" s="62"/>
      <c r="AW74" s="24"/>
      <c r="AX74" s="24"/>
      <c r="AZ74" s="24"/>
      <c r="BA74" s="62"/>
      <c r="BB74" s="24"/>
      <c r="BC74" s="24"/>
      <c r="BD74" s="24"/>
      <c r="BE74" s="22"/>
      <c r="BF74" s="24"/>
      <c r="BG74" s="62"/>
      <c r="BH74" s="24"/>
      <c r="BI74" s="24"/>
      <c r="BJ74" s="24"/>
      <c r="BK74" s="22"/>
      <c r="BL74" s="24"/>
      <c r="BM74" s="62"/>
      <c r="BN74" s="24"/>
      <c r="BO74" s="24"/>
      <c r="BP74" s="24"/>
      <c r="BQ74" s="22"/>
    </row>
    <row r="75" spans="1:69" ht="12.75">
      <c r="A75" s="30"/>
      <c r="B75" s="24"/>
      <c r="C75" s="62"/>
      <c r="D75" s="29" t="s">
        <v>2</v>
      </c>
      <c r="E75" s="20">
        <f>SUM(E65:E74)</f>
        <v>22335720</v>
      </c>
      <c r="F75" s="24"/>
      <c r="G75" s="22">
        <f>SUM(G65:G74)</f>
        <v>401213844</v>
      </c>
      <c r="H75" s="22">
        <f>SUM(H65:H74)</f>
        <v>205137381.06072617</v>
      </c>
      <c r="I75" s="9">
        <f t="shared" si="13"/>
        <v>17962.879369906143</v>
      </c>
      <c r="J75" s="19"/>
      <c r="K75" s="24"/>
      <c r="L75" s="62"/>
      <c r="M75" s="24"/>
      <c r="N75" s="24"/>
      <c r="O75" s="24"/>
      <c r="P75" s="62"/>
      <c r="Q75" s="24"/>
      <c r="R75" s="24"/>
      <c r="S75" s="24"/>
      <c r="T75" s="62"/>
      <c r="U75" s="24"/>
      <c r="V75" s="24"/>
      <c r="W75" s="24"/>
      <c r="X75" s="62"/>
      <c r="Y75" s="24"/>
      <c r="Z75" s="24"/>
      <c r="AA75" s="24"/>
      <c r="AB75" s="62"/>
      <c r="AC75" s="24"/>
      <c r="AD75" s="24"/>
      <c r="AE75" s="24"/>
      <c r="AF75" s="62"/>
      <c r="AG75" s="24"/>
      <c r="AH75" s="24"/>
      <c r="AI75" s="24"/>
      <c r="AJ75" s="62"/>
      <c r="AK75" s="24"/>
      <c r="AL75" s="24"/>
      <c r="AM75" s="24"/>
      <c r="AN75" s="62"/>
      <c r="AO75" s="24"/>
      <c r="AP75" s="24"/>
      <c r="AQ75" s="24"/>
      <c r="AR75" s="62"/>
      <c r="AS75" s="24"/>
      <c r="AT75" s="24"/>
      <c r="AU75" s="24"/>
      <c r="AV75" s="62"/>
      <c r="AW75" s="24"/>
      <c r="AX75" s="24"/>
      <c r="AZ75" s="24"/>
      <c r="BA75" s="62"/>
      <c r="BB75" s="24"/>
      <c r="BC75" s="24"/>
      <c r="BD75" s="24"/>
      <c r="BE75" s="22"/>
      <c r="BF75" s="24"/>
      <c r="BG75" s="62"/>
      <c r="BH75" s="24"/>
      <c r="BI75" s="24"/>
      <c r="BJ75" s="24"/>
      <c r="BK75" s="22"/>
      <c r="BL75" s="24"/>
      <c r="BM75" s="62"/>
      <c r="BN75" s="24"/>
      <c r="BO75" s="24"/>
      <c r="BP75" s="24"/>
      <c r="BQ75" s="22"/>
    </row>
    <row r="76" spans="2:69" ht="12.75">
      <c r="B76" s="24"/>
      <c r="C76" s="62"/>
      <c r="D76" s="24"/>
      <c r="E76" s="25"/>
      <c r="F76" s="6"/>
      <c r="G76" s="9"/>
      <c r="H76" s="6"/>
      <c r="I76" s="6"/>
      <c r="J76" s="19"/>
      <c r="K76" s="24"/>
      <c r="L76" s="62"/>
      <c r="M76" s="24"/>
      <c r="N76" s="24"/>
      <c r="O76" s="24"/>
      <c r="P76" s="62"/>
      <c r="Q76" s="24"/>
      <c r="R76" s="24"/>
      <c r="S76" s="24"/>
      <c r="T76" s="62"/>
      <c r="U76" s="24"/>
      <c r="V76" s="24"/>
      <c r="W76" s="24"/>
      <c r="X76" s="62"/>
      <c r="Y76" s="24"/>
      <c r="Z76" s="24"/>
      <c r="AA76" s="24"/>
      <c r="AB76" s="62"/>
      <c r="AC76" s="24"/>
      <c r="AD76" s="24"/>
      <c r="AE76" s="24"/>
      <c r="AF76" s="62"/>
      <c r="AG76" s="24"/>
      <c r="AH76" s="24"/>
      <c r="AI76" s="24"/>
      <c r="AJ76" s="62"/>
      <c r="AK76" s="24"/>
      <c r="AL76" s="24"/>
      <c r="AM76" s="24"/>
      <c r="AN76" s="62"/>
      <c r="AO76" s="24"/>
      <c r="AP76" s="24"/>
      <c r="AQ76" s="24"/>
      <c r="AR76" s="62"/>
      <c r="AS76" s="24"/>
      <c r="AT76" s="24"/>
      <c r="AU76" s="24"/>
      <c r="AV76" s="62"/>
      <c r="AW76" s="24"/>
      <c r="AX76" s="24"/>
      <c r="AZ76" s="24"/>
      <c r="BA76" s="62"/>
      <c r="BB76" s="24"/>
      <c r="BC76" s="24"/>
      <c r="BD76" s="24"/>
      <c r="BE76" s="22"/>
      <c r="BF76" s="24"/>
      <c r="BG76" s="62"/>
      <c r="BH76" s="24"/>
      <c r="BI76" s="24"/>
      <c r="BJ76" s="24"/>
      <c r="BK76" s="22"/>
      <c r="BL76" s="24"/>
      <c r="BM76" s="62"/>
      <c r="BN76" s="24"/>
      <c r="BO76" s="24"/>
      <c r="BP76" s="24"/>
      <c r="BQ76" s="22"/>
    </row>
    <row r="77" spans="2:69" ht="12.75">
      <c r="B77" s="24"/>
      <c r="C77" s="62"/>
      <c r="D77" s="24"/>
      <c r="E77" s="20">
        <v>1000</v>
      </c>
      <c r="F77" s="24"/>
      <c r="G77" s="32">
        <f>G74+G73+G72/E72*(E72-F72+1000)</f>
        <v>5589137.983034872</v>
      </c>
      <c r="H77" s="22">
        <f>G77/1.95583</f>
        <v>2857680.873611138</v>
      </c>
      <c r="I77" s="24">
        <f>G77*1000/E77</f>
        <v>5589137.983034872</v>
      </c>
      <c r="J77" s="49">
        <f>I77/1.95583</f>
        <v>2857680.873611138</v>
      </c>
      <c r="K77" s="24"/>
      <c r="L77" s="62"/>
      <c r="M77" s="24"/>
      <c r="N77" s="24"/>
      <c r="O77" s="24"/>
      <c r="P77" s="62"/>
      <c r="Q77" s="24"/>
      <c r="R77" s="24"/>
      <c r="S77" s="24"/>
      <c r="T77" s="62"/>
      <c r="U77" s="24"/>
      <c r="V77" s="24"/>
      <c r="W77" s="24"/>
      <c r="X77" s="62"/>
      <c r="Y77" s="24"/>
      <c r="Z77" s="24"/>
      <c r="AA77" s="24"/>
      <c r="AB77" s="62"/>
      <c r="AC77" s="24"/>
      <c r="AD77" s="24"/>
      <c r="AE77" s="24"/>
      <c r="AF77" s="62"/>
      <c r="AG77" s="24"/>
      <c r="AH77" s="24"/>
      <c r="AI77" s="24"/>
      <c r="AJ77" s="62"/>
      <c r="AK77" s="24"/>
      <c r="AL77" s="24"/>
      <c r="AM77" s="24"/>
      <c r="AN77" s="62"/>
      <c r="AO77" s="24"/>
      <c r="AP77" s="24"/>
      <c r="AQ77" s="24"/>
      <c r="AR77" s="62"/>
      <c r="AS77" s="24"/>
      <c r="AT77" s="24"/>
      <c r="AU77" s="24"/>
      <c r="AV77" s="62"/>
      <c r="AW77" s="24"/>
      <c r="AX77" s="24"/>
      <c r="AZ77" s="24"/>
      <c r="BA77" s="62"/>
      <c r="BB77" s="24"/>
      <c r="BC77" s="24"/>
      <c r="BD77" s="24"/>
      <c r="BE77" s="22"/>
      <c r="BF77" s="24"/>
      <c r="BG77" s="62"/>
      <c r="BH77" s="24"/>
      <c r="BI77" s="24"/>
      <c r="BJ77" s="24"/>
      <c r="BK77" s="22"/>
      <c r="BL77" s="24"/>
      <c r="BM77" s="62"/>
      <c r="BN77" s="24"/>
      <c r="BO77" s="24"/>
      <c r="BP77" s="24"/>
      <c r="BQ77" s="22"/>
    </row>
    <row r="78" spans="2:69" ht="12.75">
      <c r="B78" s="24"/>
      <c r="C78" s="62"/>
      <c r="D78" s="24"/>
      <c r="E78" s="20">
        <v>10000</v>
      </c>
      <c r="F78" s="24"/>
      <c r="G78" s="24">
        <f>SUM(G$71:G$74)+G$70/E$70*(E$70-F$70+11000)-G$77</f>
        <v>9617493.727808502</v>
      </c>
      <c r="H78" s="22">
        <f>G78/1.95583</f>
        <v>4917346.460484041</v>
      </c>
      <c r="I78" s="24">
        <f>G78*1000/E78</f>
        <v>961749.3727808503</v>
      </c>
      <c r="J78" s="49">
        <f>I78/1.95583</f>
        <v>491734.64604840416</v>
      </c>
      <c r="K78" s="24"/>
      <c r="L78" s="62"/>
      <c r="M78" s="24"/>
      <c r="N78" s="24"/>
      <c r="O78" s="24"/>
      <c r="P78" s="62"/>
      <c r="Q78" s="24"/>
      <c r="R78" s="24"/>
      <c r="S78" s="24"/>
      <c r="T78" s="62"/>
      <c r="U78" s="24"/>
      <c r="V78" s="24"/>
      <c r="W78" s="24"/>
      <c r="X78" s="62"/>
      <c r="Y78" s="24"/>
      <c r="Z78" s="24"/>
      <c r="AA78" s="24"/>
      <c r="AB78" s="62"/>
      <c r="AC78" s="24"/>
      <c r="AD78" s="24"/>
      <c r="AE78" s="24"/>
      <c r="AF78" s="62"/>
      <c r="AG78" s="24"/>
      <c r="AH78" s="24"/>
      <c r="AI78" s="24"/>
      <c r="AJ78" s="62"/>
      <c r="AK78" s="24"/>
      <c r="AL78" s="24"/>
      <c r="AM78" s="24"/>
      <c r="AN78" s="62"/>
      <c r="AO78" s="24"/>
      <c r="AP78" s="24"/>
      <c r="AQ78" s="24"/>
      <c r="AR78" s="62"/>
      <c r="AS78" s="24"/>
      <c r="AT78" s="24"/>
      <c r="AU78" s="24"/>
      <c r="AV78" s="62"/>
      <c r="AW78" s="24"/>
      <c r="AX78" s="24"/>
      <c r="AZ78" s="24"/>
      <c r="BA78" s="62"/>
      <c r="BB78" s="24"/>
      <c r="BC78" s="24"/>
      <c r="BD78" s="24"/>
      <c r="BE78" s="22"/>
      <c r="BF78" s="24"/>
      <c r="BG78" s="62"/>
      <c r="BH78" s="24"/>
      <c r="BI78" s="24"/>
      <c r="BJ78" s="24"/>
      <c r="BK78" s="22"/>
      <c r="BL78" s="24"/>
      <c r="BM78" s="62"/>
      <c r="BN78" s="24"/>
      <c r="BO78" s="24"/>
      <c r="BP78" s="24"/>
      <c r="BQ78" s="22"/>
    </row>
    <row r="79" spans="2:69" ht="12.75">
      <c r="B79" s="24"/>
      <c r="C79" s="62"/>
      <c r="D79" s="24"/>
      <c r="E79" s="20">
        <v>100000</v>
      </c>
      <c r="F79" s="24"/>
      <c r="G79" s="24">
        <f>SUM(G$69:G$74)+G$68/E$68*(E$68-F$68+111000)-G$77-G$78</f>
        <v>20470331.203885313</v>
      </c>
      <c r="H79" s="22">
        <f>G79/1.95583</f>
        <v>10466314.149944173</v>
      </c>
      <c r="I79" s="24">
        <f>G79*1000/E79</f>
        <v>204703.31203885315</v>
      </c>
      <c r="J79" s="49">
        <f>I79/1.95583</f>
        <v>104663.14149944174</v>
      </c>
      <c r="K79" s="24"/>
      <c r="L79" s="62"/>
      <c r="M79" s="24"/>
      <c r="N79" s="24"/>
      <c r="O79" s="24"/>
      <c r="P79" s="62"/>
      <c r="Q79" s="24"/>
      <c r="R79" s="24"/>
      <c r="S79" s="24"/>
      <c r="T79" s="62"/>
      <c r="U79" s="24"/>
      <c r="V79" s="24"/>
      <c r="W79" s="24"/>
      <c r="X79" s="62"/>
      <c r="Y79" s="24"/>
      <c r="Z79" s="24"/>
      <c r="AA79" s="24"/>
      <c r="AB79" s="62"/>
      <c r="AC79" s="24"/>
      <c r="AD79" s="24"/>
      <c r="AE79" s="24"/>
      <c r="AF79" s="62"/>
      <c r="AG79" s="24"/>
      <c r="AH79" s="24"/>
      <c r="AI79" s="24"/>
      <c r="AJ79" s="62"/>
      <c r="AK79" s="24"/>
      <c r="AL79" s="24"/>
      <c r="AM79" s="24"/>
      <c r="AN79" s="62"/>
      <c r="AO79" s="24"/>
      <c r="AP79" s="24"/>
      <c r="AQ79" s="24"/>
      <c r="AR79" s="62"/>
      <c r="AS79" s="24"/>
      <c r="AT79" s="24"/>
      <c r="AU79" s="24"/>
      <c r="AV79" s="62"/>
      <c r="AW79" s="24"/>
      <c r="AX79" s="24"/>
      <c r="AZ79" s="24"/>
      <c r="BA79" s="62"/>
      <c r="BB79" s="24"/>
      <c r="BC79" s="24"/>
      <c r="BD79" s="24"/>
      <c r="BE79" s="22"/>
      <c r="BF79" s="24"/>
      <c r="BG79" s="62"/>
      <c r="BH79" s="24"/>
      <c r="BI79" s="24"/>
      <c r="BJ79" s="24"/>
      <c r="BK79" s="22"/>
      <c r="BL79" s="24"/>
      <c r="BM79" s="62"/>
      <c r="BN79" s="24"/>
      <c r="BO79" s="24"/>
      <c r="BP79" s="24"/>
      <c r="BQ79" s="22"/>
    </row>
    <row r="80" spans="2:69" ht="12.75">
      <c r="B80" s="24"/>
      <c r="C80" s="62"/>
      <c r="D80" s="24"/>
      <c r="E80" s="20">
        <v>1000000</v>
      </c>
      <c r="F80" s="24"/>
      <c r="G80" s="24">
        <f>SUM(G$68:G$74)+G$67/E$67*(E$67-F$67+1111000)-G$77-G$78-G$79</f>
        <v>45657403.52989985</v>
      </c>
      <c r="H80" s="22">
        <f>G80/1.95583</f>
        <v>23344259.741337363</v>
      </c>
      <c r="I80" s="24">
        <f>G80*1000/E80</f>
        <v>45657.40352989985</v>
      </c>
      <c r="J80" s="49">
        <f>I80/1.95583</f>
        <v>23344.259741337362</v>
      </c>
      <c r="K80" s="24"/>
      <c r="L80" s="62"/>
      <c r="M80" s="24"/>
      <c r="N80" s="24"/>
      <c r="O80" s="24"/>
      <c r="P80" s="62"/>
      <c r="Q80" s="24"/>
      <c r="R80" s="24"/>
      <c r="S80" s="24"/>
      <c r="T80" s="62"/>
      <c r="U80" s="24"/>
      <c r="V80" s="24"/>
      <c r="W80" s="24"/>
      <c r="X80" s="62"/>
      <c r="Y80" s="24"/>
      <c r="Z80" s="24"/>
      <c r="AA80" s="24"/>
      <c r="AB80" s="62"/>
      <c r="AC80" s="24"/>
      <c r="AD80" s="24"/>
      <c r="AE80" s="24"/>
      <c r="AF80" s="62"/>
      <c r="AG80" s="24"/>
      <c r="AH80" s="24"/>
      <c r="AI80" s="24"/>
      <c r="AJ80" s="62"/>
      <c r="AK80" s="24"/>
      <c r="AL80" s="24"/>
      <c r="AM80" s="24"/>
      <c r="AN80" s="62"/>
      <c r="AO80" s="24"/>
      <c r="AP80" s="24"/>
      <c r="AQ80" s="24"/>
      <c r="AR80" s="62"/>
      <c r="AS80" s="24"/>
      <c r="AT80" s="24"/>
      <c r="AU80" s="24"/>
      <c r="AV80" s="62"/>
      <c r="AW80" s="24"/>
      <c r="AX80" s="24"/>
      <c r="AZ80" s="24"/>
      <c r="BA80" s="62"/>
      <c r="BB80" s="24"/>
      <c r="BC80" s="24"/>
      <c r="BD80" s="24"/>
      <c r="BE80" s="22"/>
      <c r="BF80" s="24"/>
      <c r="BG80" s="62"/>
      <c r="BH80" s="24"/>
      <c r="BI80" s="24"/>
      <c r="BJ80" s="24"/>
      <c r="BK80" s="22"/>
      <c r="BL80" s="24"/>
      <c r="BM80" s="62"/>
      <c r="BN80" s="24"/>
      <c r="BO80" s="24"/>
      <c r="BP80" s="24"/>
      <c r="BQ80" s="22"/>
    </row>
    <row r="81" spans="2:69" ht="12.75">
      <c r="B81" s="24"/>
      <c r="C81" s="62"/>
      <c r="D81" s="24"/>
      <c r="E81" s="26">
        <f>E75-SUM(E77:E80)</f>
        <v>21224720</v>
      </c>
      <c r="F81" s="46">
        <f>E81/E75</f>
        <v>0.95025904694364</v>
      </c>
      <c r="G81" s="27">
        <f>G75-SUM(G77:G80)</f>
        <v>319879477.55537146</v>
      </c>
      <c r="H81" s="66">
        <f>G81/1.95583</f>
        <v>163551779.83534944</v>
      </c>
      <c r="I81" s="27">
        <f>G81*1000/E81</f>
        <v>15071.08115232481</v>
      </c>
      <c r="J81" s="50">
        <f>I81/1.95583</f>
        <v>7705.721434033025</v>
      </c>
      <c r="K81" s="24"/>
      <c r="L81" s="62"/>
      <c r="M81" s="24"/>
      <c r="N81" s="24"/>
      <c r="O81" s="24"/>
      <c r="P81" s="62"/>
      <c r="Q81" s="24"/>
      <c r="R81" s="24"/>
      <c r="S81" s="24"/>
      <c r="T81" s="62"/>
      <c r="U81" s="24"/>
      <c r="V81" s="24"/>
      <c r="W81" s="24"/>
      <c r="X81" s="62"/>
      <c r="Y81" s="24"/>
      <c r="Z81" s="24"/>
      <c r="AA81" s="24"/>
      <c r="AB81" s="62"/>
      <c r="AC81" s="24"/>
      <c r="AD81" s="24"/>
      <c r="AE81" s="24"/>
      <c r="AF81" s="62"/>
      <c r="AG81" s="24"/>
      <c r="AH81" s="24"/>
      <c r="AI81" s="24"/>
      <c r="AJ81" s="62"/>
      <c r="AK81" s="24"/>
      <c r="AL81" s="24"/>
      <c r="AM81" s="24"/>
      <c r="AN81" s="62"/>
      <c r="AO81" s="24"/>
      <c r="AP81" s="24"/>
      <c r="AQ81" s="24"/>
      <c r="AR81" s="62"/>
      <c r="AS81" s="24"/>
      <c r="AT81" s="24"/>
      <c r="AU81" s="24"/>
      <c r="AV81" s="62"/>
      <c r="AW81" s="24"/>
      <c r="AX81" s="24"/>
      <c r="AZ81" s="24"/>
      <c r="BA81" s="62"/>
      <c r="BB81" s="24"/>
      <c r="BC81" s="24"/>
      <c r="BD81" s="24"/>
      <c r="BE81" s="22"/>
      <c r="BF81" s="24"/>
      <c r="BG81" s="62"/>
      <c r="BH81" s="24"/>
      <c r="BI81" s="24"/>
      <c r="BJ81" s="24"/>
      <c r="BK81" s="22"/>
      <c r="BL81" s="24"/>
      <c r="BM81" s="62"/>
      <c r="BN81" s="24"/>
      <c r="BO81" s="24"/>
      <c r="BP81" s="24"/>
      <c r="BQ81" s="22"/>
    </row>
    <row r="82" spans="2:68" ht="12.75">
      <c r="B82" s="24"/>
      <c r="C82" s="62"/>
      <c r="D82" s="24"/>
      <c r="E82" s="24"/>
      <c r="F82" s="24"/>
      <c r="G82" s="62"/>
      <c r="H82" s="24"/>
      <c r="I82" s="24"/>
      <c r="J82" s="24"/>
      <c r="K82" s="62"/>
      <c r="L82" s="24"/>
      <c r="M82" s="24"/>
      <c r="N82" s="24"/>
      <c r="O82" s="62"/>
      <c r="P82" s="24"/>
      <c r="Q82" s="24"/>
      <c r="R82" s="24"/>
      <c r="S82" s="62"/>
      <c r="T82" s="24"/>
      <c r="U82" s="24"/>
      <c r="V82" s="24"/>
      <c r="W82" s="62"/>
      <c r="X82" s="24"/>
      <c r="Y82" s="24"/>
      <c r="Z82" s="24"/>
      <c r="AA82" s="62"/>
      <c r="AB82" s="24"/>
      <c r="AC82" s="24"/>
      <c r="AD82" s="24"/>
      <c r="AE82" s="62"/>
      <c r="AF82" s="24"/>
      <c r="AG82" s="24"/>
      <c r="AH82" s="24"/>
      <c r="AI82" s="62"/>
      <c r="AJ82" s="24"/>
      <c r="AK82" s="24"/>
      <c r="AL82" s="24"/>
      <c r="AM82" s="62"/>
      <c r="AN82" s="24"/>
      <c r="AO82" s="24"/>
      <c r="AP82" s="24"/>
      <c r="AQ82" s="62"/>
      <c r="AR82" s="24"/>
      <c r="AS82" s="24"/>
      <c r="AT82" s="24"/>
      <c r="AU82" s="62"/>
      <c r="AV82" s="24"/>
      <c r="AW82" s="24"/>
      <c r="AY82" s="24"/>
      <c r="AZ82" s="62"/>
      <c r="BA82" s="24"/>
      <c r="BB82" s="24"/>
      <c r="BC82" s="24"/>
      <c r="BD82" s="22"/>
      <c r="BE82" s="24"/>
      <c r="BF82" s="62"/>
      <c r="BG82" s="24"/>
      <c r="BH82" s="24"/>
      <c r="BI82" s="24"/>
      <c r="BJ82" s="22"/>
      <c r="BK82" s="24"/>
      <c r="BL82" s="62"/>
      <c r="BM82" s="24"/>
      <c r="BN82" s="24"/>
      <c r="BO82" s="24"/>
      <c r="BP82" s="22"/>
    </row>
    <row r="83" spans="1:69" ht="12.75">
      <c r="A83" s="29"/>
      <c r="B83" s="24"/>
      <c r="C83" s="62"/>
      <c r="D83" s="24"/>
      <c r="E83" s="29" t="s">
        <v>45</v>
      </c>
      <c r="F83" s="65">
        <v>1974</v>
      </c>
      <c r="G83" s="31" t="s">
        <v>17</v>
      </c>
      <c r="H83" s="15"/>
      <c r="I83" s="15"/>
      <c r="J83" s="15"/>
      <c r="K83" s="16"/>
      <c r="BF83" s="24"/>
      <c r="BG83" s="62"/>
      <c r="BH83" s="24"/>
      <c r="BI83" s="24"/>
      <c r="BJ83" s="24"/>
      <c r="BK83" s="22"/>
      <c r="BL83" s="24"/>
      <c r="BM83" s="62"/>
      <c r="BN83" s="24"/>
      <c r="BO83" s="24"/>
      <c r="BP83" s="24"/>
      <c r="BQ83" s="22"/>
    </row>
    <row r="84" spans="2:69" ht="12.75">
      <c r="B84" s="24"/>
      <c r="C84" s="62"/>
      <c r="D84" s="24"/>
      <c r="E84" s="29" t="s">
        <v>0</v>
      </c>
      <c r="F84" s="17" t="s">
        <v>4</v>
      </c>
      <c r="G84" s="6"/>
      <c r="H84" s="18" t="s">
        <v>5</v>
      </c>
      <c r="I84" s="18" t="s">
        <v>46</v>
      </c>
      <c r="J84" s="6" t="s">
        <v>3</v>
      </c>
      <c r="K84" s="19" t="s">
        <v>47</v>
      </c>
      <c r="BF84" s="24"/>
      <c r="BG84" s="62"/>
      <c r="BH84" s="24"/>
      <c r="BI84" s="24"/>
      <c r="BJ84" s="24"/>
      <c r="BK84" s="22"/>
      <c r="BL84" s="24"/>
      <c r="BM84" s="62"/>
      <c r="BN84" s="24"/>
      <c r="BO84" s="24"/>
      <c r="BP84" s="24"/>
      <c r="BQ84" s="22"/>
    </row>
    <row r="85" spans="1:69" ht="12.75">
      <c r="A85" s="1"/>
      <c r="B85" s="24"/>
      <c r="C85" s="62"/>
      <c r="D85" s="24"/>
      <c r="E85" s="67">
        <v>1</v>
      </c>
      <c r="F85" s="20">
        <v>1111400</v>
      </c>
      <c r="G85" s="21">
        <f aca="true" t="shared" si="16" ref="G85:G91">G86+F85</f>
        <v>22802263</v>
      </c>
      <c r="H85" s="22">
        <v>-3695600</v>
      </c>
      <c r="I85" s="22">
        <f>H85/1.95583</f>
        <v>-1889530.276148745</v>
      </c>
      <c r="J85" s="9">
        <f aca="true" t="shared" si="17" ref="J85:J95">H85*1000/F85</f>
        <v>-3325.1754543818606</v>
      </c>
      <c r="K85" s="49">
        <f>J85/1.95583</f>
        <v>-1700.135213378392</v>
      </c>
      <c r="BF85" s="24"/>
      <c r="BG85" s="62"/>
      <c r="BH85" s="24"/>
      <c r="BI85" s="24"/>
      <c r="BJ85" s="24"/>
      <c r="BK85" s="22"/>
      <c r="BL85" s="24"/>
      <c r="BM85" s="62"/>
      <c r="BN85" s="24"/>
      <c r="BO85" s="24"/>
      <c r="BP85" s="24"/>
      <c r="BQ85" s="22"/>
    </row>
    <row r="86" spans="1:69" ht="12.75">
      <c r="A86" s="1"/>
      <c r="B86" s="24"/>
      <c r="C86" s="62"/>
      <c r="D86" s="24"/>
      <c r="E86" s="67">
        <v>25000</v>
      </c>
      <c r="F86" s="20">
        <f>884500+581900+876800+1185700+1795000+2280300+5986100</f>
        <v>13590300</v>
      </c>
      <c r="G86" s="21">
        <f t="shared" si="16"/>
        <v>21690863</v>
      </c>
      <c r="H86" s="22">
        <f>594900+1325800+3515900+7848400+18113100+32223700+122481500</f>
        <v>186103300</v>
      </c>
      <c r="I86" s="22">
        <f aca="true" t="shared" si="18" ref="I86:I94">H86/1.95583</f>
        <v>95153106.35382421</v>
      </c>
      <c r="J86" s="9">
        <f t="shared" si="17"/>
        <v>13693.83310155037</v>
      </c>
      <c r="K86" s="49">
        <f aca="true" t="shared" si="19" ref="K86:K94">J86/1.95583</f>
        <v>7001.545687278736</v>
      </c>
      <c r="BF86" s="24"/>
      <c r="BG86" s="62"/>
      <c r="BH86" s="24"/>
      <c r="BI86" s="24"/>
      <c r="BJ86" s="24"/>
      <c r="BK86" s="22"/>
      <c r="BL86" s="24"/>
      <c r="BM86" s="62"/>
      <c r="BN86" s="24"/>
      <c r="BO86" s="24"/>
      <c r="BP86" s="24"/>
      <c r="BQ86" s="22"/>
    </row>
    <row r="87" spans="1:69" ht="12.75">
      <c r="A87" s="1"/>
      <c r="B87" s="24"/>
      <c r="C87" s="62"/>
      <c r="D87" s="24"/>
      <c r="E87" s="67">
        <v>100000</v>
      </c>
      <c r="F87" s="20">
        <f>6819000+828000+188700</f>
        <v>7835700</v>
      </c>
      <c r="G87" s="21">
        <f t="shared" si="16"/>
        <v>8100563</v>
      </c>
      <c r="H87" s="22">
        <f>230145900+48752300+16104900</f>
        <v>295003100</v>
      </c>
      <c r="I87" s="22">
        <f t="shared" si="18"/>
        <v>150832689.95771617</v>
      </c>
      <c r="J87" s="9">
        <f t="shared" si="17"/>
        <v>37648.595530711995</v>
      </c>
      <c r="K87" s="49">
        <f t="shared" si="19"/>
        <v>19249.42123329328</v>
      </c>
      <c r="BF87" s="24"/>
      <c r="BG87" s="62"/>
      <c r="BH87" s="24"/>
      <c r="BI87" s="24"/>
      <c r="BJ87" s="24"/>
      <c r="BK87" s="22"/>
      <c r="BL87" s="24"/>
      <c r="BM87" s="62"/>
      <c r="BN87" s="24"/>
      <c r="BO87" s="24"/>
      <c r="BP87" s="24"/>
      <c r="BQ87" s="22"/>
    </row>
    <row r="88" spans="1:69" ht="12.75">
      <c r="A88" s="1"/>
      <c r="B88" s="24"/>
      <c r="C88" s="62"/>
      <c r="D88" s="24"/>
      <c r="E88" s="67">
        <v>250000</v>
      </c>
      <c r="F88" s="20">
        <v>212000</v>
      </c>
      <c r="G88" s="21">
        <f t="shared" si="16"/>
        <v>264863</v>
      </c>
      <c r="H88" s="22">
        <v>31066500</v>
      </c>
      <c r="I88" s="22">
        <f t="shared" si="18"/>
        <v>15884049.227182321</v>
      </c>
      <c r="J88" s="9">
        <f t="shared" si="17"/>
        <v>146540.09433962265</v>
      </c>
      <c r="K88" s="49">
        <f t="shared" si="19"/>
        <v>74924.760505577</v>
      </c>
      <c r="BF88" s="24"/>
      <c r="BG88" s="62"/>
      <c r="BH88" s="24"/>
      <c r="BI88" s="24"/>
      <c r="BJ88" s="24"/>
      <c r="BK88" s="22"/>
      <c r="BL88" s="24"/>
      <c r="BM88" s="62"/>
      <c r="BN88" s="24"/>
      <c r="BO88" s="24"/>
      <c r="BP88" s="24"/>
      <c r="BQ88" s="22"/>
    </row>
    <row r="89" spans="1:69" ht="12.75">
      <c r="A89" s="1"/>
      <c r="B89" s="24"/>
      <c r="C89" s="62"/>
      <c r="D89" s="24"/>
      <c r="E89" s="67">
        <v>500000</v>
      </c>
      <c r="F89" s="20">
        <v>38000</v>
      </c>
      <c r="G89" s="21">
        <f t="shared" si="16"/>
        <v>52863</v>
      </c>
      <c r="H89" s="22">
        <v>12690500</v>
      </c>
      <c r="I89" s="22">
        <f t="shared" si="18"/>
        <v>6488549.61832061</v>
      </c>
      <c r="J89" s="9">
        <f t="shared" si="17"/>
        <v>333960.5263157895</v>
      </c>
      <c r="K89" s="49">
        <f t="shared" si="19"/>
        <v>170751.30574527924</v>
      </c>
      <c r="BF89" s="24"/>
      <c r="BG89" s="62"/>
      <c r="BH89" s="24"/>
      <c r="BI89" s="24"/>
      <c r="BJ89" s="24"/>
      <c r="BK89" s="22"/>
      <c r="BL89" s="24"/>
      <c r="BM89" s="62"/>
      <c r="BN89" s="24"/>
      <c r="BO89" s="24"/>
      <c r="BP89" s="24"/>
      <c r="BQ89" s="22"/>
    </row>
    <row r="90" spans="1:69" ht="12.75">
      <c r="A90" s="1"/>
      <c r="B90" s="24"/>
      <c r="C90" s="62"/>
      <c r="D90" s="24"/>
      <c r="E90" s="67">
        <v>1000000</v>
      </c>
      <c r="F90" s="20">
        <v>10200</v>
      </c>
      <c r="G90" s="21">
        <f t="shared" si="16"/>
        <v>14863</v>
      </c>
      <c r="H90" s="22">
        <v>6872900</v>
      </c>
      <c r="I90" s="22">
        <f t="shared" si="18"/>
        <v>3514057.97027349</v>
      </c>
      <c r="J90" s="9">
        <f t="shared" si="17"/>
        <v>673813.725490196</v>
      </c>
      <c r="K90" s="49">
        <f t="shared" si="19"/>
        <v>344515.4872817147</v>
      </c>
      <c r="BF90" s="24"/>
      <c r="BG90" s="62"/>
      <c r="BH90" s="24"/>
      <c r="BI90" s="24"/>
      <c r="BJ90" s="24"/>
      <c r="BK90" s="22"/>
      <c r="BL90" s="24"/>
      <c r="BM90" s="62"/>
      <c r="BN90" s="24"/>
      <c r="BO90" s="24"/>
      <c r="BP90" s="24"/>
      <c r="BQ90" s="22"/>
    </row>
    <row r="91" spans="1:69" ht="12.75">
      <c r="A91" s="1"/>
      <c r="B91" s="24"/>
      <c r="C91" s="62"/>
      <c r="D91" s="24"/>
      <c r="E91" s="67">
        <v>2000000</v>
      </c>
      <c r="F91" s="20">
        <v>3172</v>
      </c>
      <c r="G91" s="21">
        <f t="shared" si="16"/>
        <v>4663</v>
      </c>
      <c r="H91" s="22">
        <v>4271963</v>
      </c>
      <c r="I91" s="22">
        <f t="shared" si="18"/>
        <v>2184219.9986706413</v>
      </c>
      <c r="J91" s="9">
        <f t="shared" si="17"/>
        <v>1346772.6986128625</v>
      </c>
      <c r="K91" s="49">
        <f t="shared" si="19"/>
        <v>688593.9466174783</v>
      </c>
      <c r="BF91" s="24"/>
      <c r="BG91" s="62"/>
      <c r="BH91" s="24"/>
      <c r="BI91" s="24"/>
      <c r="BJ91" s="24"/>
      <c r="BK91" s="22"/>
      <c r="BL91" s="24"/>
      <c r="BM91" s="62"/>
      <c r="BN91" s="24"/>
      <c r="BO91" s="24"/>
      <c r="BP91" s="24"/>
      <c r="BQ91" s="22"/>
    </row>
    <row r="92" spans="1:69" ht="12.75">
      <c r="A92" s="1"/>
      <c r="B92" s="24"/>
      <c r="C92" s="62"/>
      <c r="D92" s="24"/>
      <c r="E92" s="67">
        <v>5000000</v>
      </c>
      <c r="F92" s="20">
        <v>1168</v>
      </c>
      <c r="G92" s="21">
        <f>G93+F92</f>
        <v>1491</v>
      </c>
      <c r="H92" s="22">
        <v>3415460</v>
      </c>
      <c r="I92" s="22">
        <f t="shared" si="18"/>
        <v>1746296.9685504364</v>
      </c>
      <c r="J92" s="9">
        <f t="shared" si="17"/>
        <v>2924195.205479452</v>
      </c>
      <c r="K92" s="49">
        <f t="shared" si="19"/>
        <v>1495117.2675945517</v>
      </c>
      <c r="BF92" s="24"/>
      <c r="BG92" s="62"/>
      <c r="BH92" s="24"/>
      <c r="BI92" s="24"/>
      <c r="BJ92" s="24"/>
      <c r="BK92" s="22"/>
      <c r="BL92" s="24"/>
      <c r="BM92" s="62"/>
      <c r="BN92" s="24"/>
      <c r="BO92" s="24"/>
      <c r="BP92" s="24"/>
      <c r="BQ92" s="22"/>
    </row>
    <row r="93" spans="1:69" ht="12.75">
      <c r="A93" s="1"/>
      <c r="B93" s="24"/>
      <c r="C93" s="62"/>
      <c r="D93" s="24"/>
      <c r="E93" s="67">
        <v>10000000</v>
      </c>
      <c r="F93" s="20">
        <v>235</v>
      </c>
      <c r="G93" s="24">
        <f>G94+F93</f>
        <v>323</v>
      </c>
      <c r="H93" s="22">
        <v>1569545</v>
      </c>
      <c r="I93" s="22">
        <f t="shared" si="18"/>
        <v>802495.6156721187</v>
      </c>
      <c r="J93" s="9">
        <f t="shared" si="17"/>
        <v>6678914.893617021</v>
      </c>
      <c r="K93" s="49">
        <f t="shared" si="19"/>
        <v>3414874.960306888</v>
      </c>
      <c r="BF93" s="24"/>
      <c r="BG93" s="62"/>
      <c r="BH93" s="24"/>
      <c r="BI93" s="24"/>
      <c r="BJ93" s="24"/>
      <c r="BK93" s="22"/>
      <c r="BL93" s="24"/>
      <c r="BM93" s="62"/>
      <c r="BN93" s="24"/>
      <c r="BO93" s="24"/>
      <c r="BP93" s="24"/>
      <c r="BQ93" s="22"/>
    </row>
    <row r="94" spans="1:69" ht="12.75">
      <c r="A94" s="29"/>
      <c r="B94" s="24"/>
      <c r="C94" s="62"/>
      <c r="D94" s="24"/>
      <c r="E94" s="29" t="s">
        <v>1</v>
      </c>
      <c r="F94" s="20">
        <v>88</v>
      </c>
      <c r="G94" s="24">
        <f>G95+F94</f>
        <v>88</v>
      </c>
      <c r="H94" s="22">
        <v>1561173</v>
      </c>
      <c r="I94" s="22">
        <f t="shared" si="18"/>
        <v>798215.080042744</v>
      </c>
      <c r="J94" s="9">
        <f t="shared" si="17"/>
        <v>17740602.272727273</v>
      </c>
      <c r="K94" s="49">
        <f t="shared" si="19"/>
        <v>9070625.909576638</v>
      </c>
      <c r="BF94" s="24"/>
      <c r="BG94" s="62"/>
      <c r="BH94" s="24"/>
      <c r="BI94" s="24"/>
      <c r="BJ94" s="24"/>
      <c r="BK94" s="22"/>
      <c r="BL94" s="24"/>
      <c r="BM94" s="62"/>
      <c r="BN94" s="24"/>
      <c r="BO94" s="24"/>
      <c r="BP94" s="24"/>
      <c r="BQ94" s="22"/>
    </row>
    <row r="95" spans="1:69" ht="12.75">
      <c r="A95" s="30"/>
      <c r="B95" s="24"/>
      <c r="C95" s="62"/>
      <c r="D95" s="24"/>
      <c r="E95" s="29" t="s">
        <v>2</v>
      </c>
      <c r="F95" s="20">
        <f>SUM(F85:F94)</f>
        <v>22802263</v>
      </c>
      <c r="G95" s="24"/>
      <c r="H95" s="22">
        <f>SUM(H85:H94)</f>
        <v>538858841</v>
      </c>
      <c r="I95" s="22">
        <f>SUM(I85:I94)</f>
        <v>275514150.51410395</v>
      </c>
      <c r="J95" s="9">
        <f t="shared" si="17"/>
        <v>23631.814131781568</v>
      </c>
      <c r="K95" s="19"/>
      <c r="BF95" s="24"/>
      <c r="BG95" s="62"/>
      <c r="BH95" s="24"/>
      <c r="BI95" s="24"/>
      <c r="BJ95" s="24"/>
      <c r="BK95" s="22"/>
      <c r="BL95" s="24"/>
      <c r="BM95" s="62"/>
      <c r="BN95" s="24"/>
      <c r="BO95" s="24"/>
      <c r="BP95" s="24"/>
      <c r="BQ95" s="22"/>
    </row>
    <row r="96" spans="2:69" ht="12.75">
      <c r="B96" s="24"/>
      <c r="C96" s="62"/>
      <c r="D96" s="24"/>
      <c r="E96" s="24"/>
      <c r="F96" s="25"/>
      <c r="G96" s="9"/>
      <c r="H96" s="9"/>
      <c r="I96" s="6"/>
      <c r="J96" s="6"/>
      <c r="K96" s="19"/>
      <c r="BF96" s="24"/>
      <c r="BG96" s="62"/>
      <c r="BH96" s="24"/>
      <c r="BI96" s="24"/>
      <c r="BJ96" s="24"/>
      <c r="BK96" s="22"/>
      <c r="BL96" s="24"/>
      <c r="BM96" s="62"/>
      <c r="BN96" s="24"/>
      <c r="BO96" s="24"/>
      <c r="BP96" s="24"/>
      <c r="BQ96" s="22"/>
    </row>
    <row r="97" spans="2:69" ht="12.75">
      <c r="B97" s="24"/>
      <c r="C97" s="62"/>
      <c r="D97" s="24"/>
      <c r="E97" s="24"/>
      <c r="F97" s="20">
        <v>1000</v>
      </c>
      <c r="G97" s="24"/>
      <c r="H97" s="32">
        <f>H94+H93+H92/F92*(F92-G92+1000)</f>
        <v>5110398.154109589</v>
      </c>
      <c r="I97" s="22">
        <f>H97/1.95583</f>
        <v>2612905.085876374</v>
      </c>
      <c r="J97" s="24">
        <f>H97*1000/F97</f>
        <v>5110398.154109589</v>
      </c>
      <c r="K97" s="49">
        <f>J97/1.95583</f>
        <v>2612905.085876374</v>
      </c>
      <c r="BF97" s="24"/>
      <c r="BG97" s="62"/>
      <c r="BH97" s="24"/>
      <c r="BI97" s="24"/>
      <c r="BJ97" s="24"/>
      <c r="BK97" s="22"/>
      <c r="BL97" s="24"/>
      <c r="BM97" s="62"/>
      <c r="BN97" s="24"/>
      <c r="BO97" s="24"/>
      <c r="BP97" s="24"/>
      <c r="BQ97" s="22"/>
    </row>
    <row r="98" spans="2:69" ht="12.75">
      <c r="B98" s="24"/>
      <c r="C98" s="62"/>
      <c r="D98" s="24"/>
      <c r="E98" s="24"/>
      <c r="F98" s="20">
        <v>10000</v>
      </c>
      <c r="G98" s="24"/>
      <c r="H98" s="24">
        <f>SUM(H$91:H$94)+H$90/F$90*(F$90-G$90+11000)-H$97</f>
        <v>9977700.424321782</v>
      </c>
      <c r="I98" s="22">
        <f>H98/1.95583</f>
        <v>5101517.219963792</v>
      </c>
      <c r="J98" s="24">
        <f>H98*1000/F98</f>
        <v>997770.0424321782</v>
      </c>
      <c r="K98" s="49">
        <f>J98/1.95583</f>
        <v>510151.72199637914</v>
      </c>
      <c r="BF98" s="24"/>
      <c r="BG98" s="62"/>
      <c r="BH98" s="24"/>
      <c r="BI98" s="24"/>
      <c r="BJ98" s="24"/>
      <c r="BK98" s="22"/>
      <c r="BL98" s="24"/>
      <c r="BM98" s="62"/>
      <c r="BN98" s="24"/>
      <c r="BO98" s="24"/>
      <c r="BP98" s="24"/>
      <c r="BQ98" s="22"/>
    </row>
    <row r="99" spans="2:69" ht="12.75">
      <c r="B99" s="24"/>
      <c r="C99" s="62"/>
      <c r="D99" s="24"/>
      <c r="E99" s="24"/>
      <c r="F99" s="20">
        <v>100000</v>
      </c>
      <c r="G99" s="24"/>
      <c r="H99" s="24">
        <f>SUM(H$89:H$94)+H$88/F$88*(F$88-G$88+111000)-H$97-H$98</f>
        <v>23812843.886191268</v>
      </c>
      <c r="I99" s="22">
        <f>H99/1.95583</f>
        <v>12175313.747202603</v>
      </c>
      <c r="J99" s="24">
        <f>H99*1000/F99</f>
        <v>238128.4388619127</v>
      </c>
      <c r="K99" s="49">
        <f>J99/1.95583</f>
        <v>121753.13747202605</v>
      </c>
      <c r="BF99" s="24"/>
      <c r="BG99" s="62"/>
      <c r="BH99" s="24"/>
      <c r="BI99" s="24"/>
      <c r="BJ99" s="24"/>
      <c r="BK99" s="22"/>
      <c r="BL99" s="24"/>
      <c r="BM99" s="62"/>
      <c r="BN99" s="24"/>
      <c r="BO99" s="24"/>
      <c r="BP99" s="24"/>
      <c r="BQ99" s="22"/>
    </row>
    <row r="100" spans="2:69" ht="12.75">
      <c r="B100" s="24"/>
      <c r="C100" s="62"/>
      <c r="D100" s="24"/>
      <c r="E100" s="24"/>
      <c r="F100" s="20">
        <v>1000000</v>
      </c>
      <c r="G100" s="24"/>
      <c r="H100" s="24">
        <f>SUM(H$88:H$94)+H$87/F$87*(F$87-G$87+1111000)-H$97-H$98-H$99</f>
        <v>54402968.211947426</v>
      </c>
      <c r="I100" s="22">
        <f>H100/1.95583</f>
        <v>27815795.959744673</v>
      </c>
      <c r="J100" s="24">
        <f>H100*1000/F100</f>
        <v>54402.968211947424</v>
      </c>
      <c r="K100" s="49">
        <f>J100/1.95583</f>
        <v>27815.795959744675</v>
      </c>
      <c r="BF100" s="24"/>
      <c r="BG100" s="62"/>
      <c r="BH100" s="24"/>
      <c r="BI100" s="24"/>
      <c r="BJ100" s="24"/>
      <c r="BK100" s="22"/>
      <c r="BL100" s="24"/>
      <c r="BM100" s="62"/>
      <c r="BN100" s="24"/>
      <c r="BO100" s="24"/>
      <c r="BP100" s="24"/>
      <c r="BQ100" s="22"/>
    </row>
    <row r="101" spans="2:69" ht="12.75">
      <c r="B101" s="24"/>
      <c r="C101" s="62"/>
      <c r="D101" s="24"/>
      <c r="E101" s="24"/>
      <c r="F101" s="26">
        <f>F95-SUM(F97:F100)</f>
        <v>21691263</v>
      </c>
      <c r="G101" s="46">
        <f>F101/F95</f>
        <v>0.9512767658192522</v>
      </c>
      <c r="H101" s="27">
        <f>H95-SUM(H97:H100)</f>
        <v>445554930.32342994</v>
      </c>
      <c r="I101" s="66">
        <f>H101/1.95583</f>
        <v>227808618.50131655</v>
      </c>
      <c r="J101" s="27">
        <f>H101*1000/F101</f>
        <v>20540.755525550998</v>
      </c>
      <c r="K101" s="50">
        <f>J101/1.95583</f>
        <v>10502.321533850589</v>
      </c>
      <c r="BF101" s="24"/>
      <c r="BG101" s="62"/>
      <c r="BH101" s="24"/>
      <c r="BI101" s="24"/>
      <c r="BJ101" s="24"/>
      <c r="BK101" s="22"/>
      <c r="BL101" s="24"/>
      <c r="BM101" s="62"/>
      <c r="BN101" s="24"/>
      <c r="BO101" s="24"/>
      <c r="BP101" s="24"/>
      <c r="BQ101" s="22"/>
    </row>
    <row r="102" spans="1:68" ht="12.75">
      <c r="A102" s="29"/>
      <c r="B102" s="24"/>
      <c r="C102" s="62"/>
      <c r="D102" s="24"/>
      <c r="E102" s="24"/>
      <c r="F102" s="24"/>
      <c r="G102" s="62"/>
      <c r="H102" s="24"/>
      <c r="I102" s="24"/>
      <c r="J102" s="24"/>
      <c r="BE102" s="24"/>
      <c r="BF102" s="62"/>
      <c r="BG102" s="24"/>
      <c r="BH102" s="24"/>
      <c r="BI102" s="24"/>
      <c r="BJ102" s="22"/>
      <c r="BK102" s="24"/>
      <c r="BL102" s="62"/>
      <c r="BM102" s="24"/>
      <c r="BN102" s="24"/>
      <c r="BO102" s="24"/>
      <c r="BP102" s="22"/>
    </row>
    <row r="103" spans="2:69" ht="12.75">
      <c r="B103" s="24"/>
      <c r="C103" s="62"/>
      <c r="D103" s="24"/>
      <c r="E103" s="24"/>
      <c r="F103" s="29" t="s">
        <v>45</v>
      </c>
      <c r="G103" s="65">
        <v>1977</v>
      </c>
      <c r="H103" s="31" t="s">
        <v>18</v>
      </c>
      <c r="I103" s="15"/>
      <c r="J103" s="15"/>
      <c r="K103" s="15"/>
      <c r="L103" s="16"/>
      <c r="M103" s="24"/>
      <c r="N103" s="24"/>
      <c r="O103" s="24"/>
      <c r="P103" s="62"/>
      <c r="Q103" s="24"/>
      <c r="R103" s="24"/>
      <c r="S103" s="24"/>
      <c r="T103" s="62"/>
      <c r="U103" s="24"/>
      <c r="V103" s="24"/>
      <c r="W103" s="24"/>
      <c r="X103" s="62"/>
      <c r="Y103" s="24"/>
      <c r="Z103" s="24"/>
      <c r="AA103" s="24"/>
      <c r="AB103" s="62"/>
      <c r="AC103" s="24"/>
      <c r="AD103" s="24"/>
      <c r="AE103" s="24"/>
      <c r="AF103" s="62"/>
      <c r="AG103" s="24"/>
      <c r="AH103" s="24"/>
      <c r="AI103" s="24"/>
      <c r="AJ103" s="62"/>
      <c r="AK103" s="24"/>
      <c r="AL103" s="24"/>
      <c r="AM103" s="24"/>
      <c r="AN103" s="62"/>
      <c r="AO103" s="24"/>
      <c r="AP103" s="24"/>
      <c r="AQ103" s="24"/>
      <c r="AR103" s="62"/>
      <c r="AS103" s="24"/>
      <c r="AT103" s="24"/>
      <c r="AU103" s="24"/>
      <c r="AV103" s="62"/>
      <c r="AW103" s="24"/>
      <c r="AX103" s="24"/>
      <c r="AZ103" s="24"/>
      <c r="BA103" s="62"/>
      <c r="BB103" s="24"/>
      <c r="BC103" s="24"/>
      <c r="BD103" s="24"/>
      <c r="BE103" s="22"/>
      <c r="BF103" s="24"/>
      <c r="BG103" s="62"/>
      <c r="BH103" s="24"/>
      <c r="BI103" s="24"/>
      <c r="BJ103" s="24"/>
      <c r="BK103" s="22"/>
      <c r="BL103" s="24"/>
      <c r="BM103" s="62"/>
      <c r="BN103" s="24"/>
      <c r="BO103" s="24"/>
      <c r="BP103" s="24"/>
      <c r="BQ103" s="22"/>
    </row>
    <row r="104" spans="1:60" ht="12.75">
      <c r="A104" s="1"/>
      <c r="F104" s="29" t="s">
        <v>0</v>
      </c>
      <c r="G104" s="17" t="s">
        <v>4</v>
      </c>
      <c r="H104" s="6"/>
      <c r="I104" s="18" t="s">
        <v>5</v>
      </c>
      <c r="J104" s="18" t="s">
        <v>46</v>
      </c>
      <c r="K104" s="6" t="s">
        <v>3</v>
      </c>
      <c r="L104" s="19" t="s">
        <v>47</v>
      </c>
      <c r="BH104" s="58"/>
    </row>
    <row r="105" spans="1:60" ht="12.75">
      <c r="A105" s="1"/>
      <c r="F105" s="67">
        <v>1</v>
      </c>
      <c r="G105" s="20">
        <v>1386800</v>
      </c>
      <c r="H105" s="21">
        <f aca="true" t="shared" si="20" ref="H105:H111">H106+G105</f>
        <v>22002500</v>
      </c>
      <c r="I105" s="22">
        <v>-2035400</v>
      </c>
      <c r="J105" s="22">
        <f>I105/1.95583</f>
        <v>-1040683.4949867831</v>
      </c>
      <c r="K105" s="9">
        <f aca="true" t="shared" si="21" ref="K105:K115">I105*1000/G105</f>
        <v>-1467.6954139025095</v>
      </c>
      <c r="L105" s="49">
        <f>K105/1.95583</f>
        <v>-750.4207491972766</v>
      </c>
      <c r="BH105" s="58"/>
    </row>
    <row r="106" spans="1:60" ht="12.75">
      <c r="A106" s="1"/>
      <c r="F106" s="67">
        <v>25000</v>
      </c>
      <c r="G106" s="20">
        <f>656700+485300+855000+1054500+1310500+1467000+4602900</f>
        <v>10431900</v>
      </c>
      <c r="H106" s="21">
        <f t="shared" si="20"/>
        <v>20615700</v>
      </c>
      <c r="I106" s="22">
        <f>448000+1094900+3470700+6755200+13147600+20617900+95285800</f>
        <v>140820100</v>
      </c>
      <c r="J106" s="22">
        <f aca="true" t="shared" si="22" ref="J106:J114">I106/1.95583</f>
        <v>72000173.83923961</v>
      </c>
      <c r="K106" s="9">
        <f t="shared" si="21"/>
        <v>13498.988678955895</v>
      </c>
      <c r="L106" s="49">
        <f aca="true" t="shared" si="23" ref="L106:L114">K106/1.95583</f>
        <v>6901.923315909816</v>
      </c>
      <c r="BH106" s="58"/>
    </row>
    <row r="107" spans="1:60" ht="12.75">
      <c r="A107" s="1"/>
      <c r="F107" s="67">
        <v>100000</v>
      </c>
      <c r="G107" s="20">
        <f>7979700+1524200+314500</f>
        <v>9818400</v>
      </c>
      <c r="H107" s="21">
        <f t="shared" si="20"/>
        <v>10183800</v>
      </c>
      <c r="I107" s="22">
        <f>277429900+89592800+26757600</f>
        <v>393780300</v>
      </c>
      <c r="J107" s="22">
        <f t="shared" si="22"/>
        <v>201336670.36501127</v>
      </c>
      <c r="K107" s="9">
        <f t="shared" si="21"/>
        <v>40106.361525299435</v>
      </c>
      <c r="L107" s="49">
        <f t="shared" si="23"/>
        <v>20506.057032205987</v>
      </c>
      <c r="BH107" s="58"/>
    </row>
    <row r="108" spans="1:60" ht="12.75">
      <c r="A108" s="1"/>
      <c r="F108" s="67">
        <v>250000</v>
      </c>
      <c r="G108" s="20">
        <v>290500</v>
      </c>
      <c r="H108" s="21">
        <f t="shared" si="20"/>
        <v>365400</v>
      </c>
      <c r="I108" s="22">
        <v>42184700</v>
      </c>
      <c r="J108" s="22">
        <f t="shared" si="22"/>
        <v>21568694.620698117</v>
      </c>
      <c r="K108" s="9">
        <f t="shared" si="21"/>
        <v>145214.11359724612</v>
      </c>
      <c r="L108" s="49">
        <f t="shared" si="23"/>
        <v>74246.79731737734</v>
      </c>
      <c r="BH108" s="58"/>
    </row>
    <row r="109" spans="1:60" ht="12.75">
      <c r="A109" s="1"/>
      <c r="F109" s="67">
        <v>500000</v>
      </c>
      <c r="G109" s="20">
        <v>53600</v>
      </c>
      <c r="H109" s="21">
        <f t="shared" si="20"/>
        <v>74900</v>
      </c>
      <c r="I109" s="22">
        <v>17943200</v>
      </c>
      <c r="J109" s="22">
        <f t="shared" si="22"/>
        <v>9174212.482679987</v>
      </c>
      <c r="K109" s="9">
        <f t="shared" si="21"/>
        <v>334761.19402985077</v>
      </c>
      <c r="L109" s="49">
        <f t="shared" si="23"/>
        <v>171160.6806470147</v>
      </c>
      <c r="BH109" s="58"/>
    </row>
    <row r="110" spans="1:60" ht="12.75">
      <c r="A110" s="1"/>
      <c r="F110" s="67">
        <v>1000000</v>
      </c>
      <c r="G110" s="20">
        <v>14800</v>
      </c>
      <c r="H110" s="21">
        <f t="shared" si="20"/>
        <v>21300</v>
      </c>
      <c r="I110" s="22">
        <v>9997800</v>
      </c>
      <c r="J110" s="22">
        <f t="shared" si="22"/>
        <v>5111793.969823553</v>
      </c>
      <c r="K110" s="9">
        <f t="shared" si="21"/>
        <v>675527.027027027</v>
      </c>
      <c r="L110" s="49">
        <f t="shared" si="23"/>
        <v>345391.48444753734</v>
      </c>
      <c r="BH110" s="58"/>
    </row>
    <row r="111" spans="1:60" ht="12.75">
      <c r="A111" s="1"/>
      <c r="F111" s="67">
        <v>2000000</v>
      </c>
      <c r="G111" s="20">
        <v>4300</v>
      </c>
      <c r="H111" s="21">
        <f t="shared" si="20"/>
        <v>6500</v>
      </c>
      <c r="I111" s="22">
        <v>5794200</v>
      </c>
      <c r="J111" s="22">
        <f t="shared" si="22"/>
        <v>2962527.418027129</v>
      </c>
      <c r="K111" s="9">
        <f t="shared" si="21"/>
        <v>1347488.3720930233</v>
      </c>
      <c r="L111" s="49">
        <f t="shared" si="23"/>
        <v>688959.8646574719</v>
      </c>
      <c r="BH111" s="58"/>
    </row>
    <row r="112" spans="1:60" ht="12.75">
      <c r="A112" s="1"/>
      <c r="F112" s="67">
        <v>5000000</v>
      </c>
      <c r="G112" s="20">
        <v>1700</v>
      </c>
      <c r="H112" s="21">
        <f>H113+G112</f>
        <v>2200</v>
      </c>
      <c r="I112" s="22">
        <v>4906300</v>
      </c>
      <c r="J112" s="22">
        <f t="shared" si="22"/>
        <v>2508551.3567130067</v>
      </c>
      <c r="K112" s="9">
        <f t="shared" si="21"/>
        <v>2886058.8235294116</v>
      </c>
      <c r="L112" s="49">
        <f t="shared" si="23"/>
        <v>1475618.445125298</v>
      </c>
      <c r="BH112" s="58"/>
    </row>
    <row r="113" spans="1:60" ht="12.75">
      <c r="A113" s="29"/>
      <c r="F113" s="67">
        <v>10000000</v>
      </c>
      <c r="G113" s="20">
        <v>400</v>
      </c>
      <c r="H113" s="24">
        <f>H114+G113</f>
        <v>500</v>
      </c>
      <c r="I113" s="22">
        <v>2453700</v>
      </c>
      <c r="J113" s="22">
        <f t="shared" si="22"/>
        <v>1254556.8888911614</v>
      </c>
      <c r="K113" s="9">
        <f t="shared" si="21"/>
        <v>6134250</v>
      </c>
      <c r="L113" s="49">
        <f t="shared" si="23"/>
        <v>3136392.222227903</v>
      </c>
      <c r="BH113" s="58"/>
    </row>
    <row r="114" spans="1:60" ht="12.75">
      <c r="A114" s="30"/>
      <c r="F114" s="29" t="s">
        <v>1</v>
      </c>
      <c r="G114" s="20">
        <v>100</v>
      </c>
      <c r="H114" s="24">
        <f>H115+G114</f>
        <v>100</v>
      </c>
      <c r="I114" s="22">
        <v>1985000</v>
      </c>
      <c r="J114" s="22">
        <f t="shared" si="22"/>
        <v>1014914.3841744937</v>
      </c>
      <c r="K114" s="9">
        <f t="shared" si="21"/>
        <v>19850000</v>
      </c>
      <c r="L114" s="49">
        <f t="shared" si="23"/>
        <v>10149143.841744937</v>
      </c>
      <c r="BH114" s="58"/>
    </row>
    <row r="115" spans="6:60" ht="12.75">
      <c r="F115" s="29" t="s">
        <v>2</v>
      </c>
      <c r="G115" s="20">
        <f>SUM(G105:G114)</f>
        <v>22002500</v>
      </c>
      <c r="H115" s="24"/>
      <c r="I115" s="22">
        <f>SUM(I105:I114)</f>
        <v>617829900</v>
      </c>
      <c r="J115" s="22">
        <f>SUM(J105:J114)</f>
        <v>315891411.8302714</v>
      </c>
      <c r="K115" s="9">
        <f t="shared" si="21"/>
        <v>28079.986365185774</v>
      </c>
      <c r="L115" s="19"/>
      <c r="BH115" s="58"/>
    </row>
    <row r="116" spans="7:60" ht="12.75">
      <c r="G116" s="25"/>
      <c r="H116" s="9"/>
      <c r="I116" s="9"/>
      <c r="J116" s="6"/>
      <c r="K116" s="6"/>
      <c r="L116" s="19"/>
      <c r="BH116" s="58"/>
    </row>
    <row r="117" spans="7:60" ht="12.75">
      <c r="G117" s="20">
        <v>1000</v>
      </c>
      <c r="H117" s="24"/>
      <c r="I117" s="32">
        <f>I114+I113+I112/G112*(G112-H112+1000)</f>
        <v>5881729.411764706</v>
      </c>
      <c r="J117" s="22">
        <f>I117/1.95583</f>
        <v>3007280.495628304</v>
      </c>
      <c r="K117" s="24">
        <f>I117*1000/G117</f>
        <v>5881729.411764706</v>
      </c>
      <c r="L117" s="49">
        <f>K117/1.95583</f>
        <v>3007280.495628304</v>
      </c>
      <c r="BH117" s="58"/>
    </row>
    <row r="118" spans="7:60" ht="12.75">
      <c r="G118" s="20">
        <v>10000</v>
      </c>
      <c r="H118" s="24"/>
      <c r="I118" s="24">
        <f>SUM(I$111:I$114)+I$110/G$110*(G$110-H$110+11000)-I$117</f>
        <v>12297342.209856914</v>
      </c>
      <c r="J118" s="22">
        <f>I118/1.95583</f>
        <v>6287531.232191404</v>
      </c>
      <c r="K118" s="24">
        <f>I118*1000/G118</f>
        <v>1229734.2209856915</v>
      </c>
      <c r="L118" s="49">
        <f>K118/1.95583</f>
        <v>628753.1232191405</v>
      </c>
      <c r="BH118" s="58"/>
    </row>
    <row r="119" spans="7:60" ht="12.75">
      <c r="G119" s="20">
        <v>100000</v>
      </c>
      <c r="H119" s="24"/>
      <c r="I119" s="24">
        <f>SUM(I$109:I$114)+I$108/G$108*(G$108-H$108+111000)-I$117-I$118</f>
        <v>30143357.87923897</v>
      </c>
      <c r="J119" s="22">
        <f>I119/1.95583</f>
        <v>15412054.155646948</v>
      </c>
      <c r="K119" s="24">
        <f>I119*1000/G119</f>
        <v>301433.5787923897</v>
      </c>
      <c r="L119" s="49">
        <f>K119/1.95583</f>
        <v>154120.54155646948</v>
      </c>
      <c r="BH119" s="58"/>
    </row>
    <row r="120" spans="7:60" ht="12.75">
      <c r="G120" s="20">
        <v>1000000</v>
      </c>
      <c r="H120" s="24"/>
      <c r="I120" s="24">
        <f>SUM(I$108:I$114)+I$107/G$107*(G$107-H$107+1111000)-I$117-I$118-I$119</f>
        <v>66845773.65240268</v>
      </c>
      <c r="J120" s="22">
        <f>I120/1.95583</f>
        <v>34177701.36075358</v>
      </c>
      <c r="K120" s="24">
        <f>I120*1000/G120</f>
        <v>66845.77365240268</v>
      </c>
      <c r="L120" s="49">
        <f>K120/1.95583</f>
        <v>34177.701360753585</v>
      </c>
      <c r="BH120" s="58"/>
    </row>
    <row r="121" spans="7:60" ht="12.75">
      <c r="G121" s="26">
        <f>G115-SUM(G117:G120)</f>
        <v>20891500</v>
      </c>
      <c r="H121" s="46">
        <f>G121/G115</f>
        <v>0.9495057379843199</v>
      </c>
      <c r="I121" s="27">
        <f>I115-SUM(I117:I120)</f>
        <v>502661696.8467367</v>
      </c>
      <c r="J121" s="66">
        <f>I121/1.95583</f>
        <v>257006844.58605132</v>
      </c>
      <c r="K121" s="27">
        <f>I121*1000/G121</f>
        <v>24060.584297285342</v>
      </c>
      <c r="L121" s="50">
        <f>K121/1.95583</f>
        <v>12301.981408039217</v>
      </c>
      <c r="BH121" s="58"/>
    </row>
    <row r="122" ht="12.75">
      <c r="BG122" s="58"/>
    </row>
    <row r="123" spans="1:60" ht="12.75">
      <c r="A123" s="29"/>
      <c r="G123" s="29" t="s">
        <v>45</v>
      </c>
      <c r="H123" s="65">
        <v>1980</v>
      </c>
      <c r="I123" s="31" t="s">
        <v>19</v>
      </c>
      <c r="J123" s="15"/>
      <c r="K123" s="15"/>
      <c r="L123" s="15"/>
      <c r="M123" s="16"/>
      <c r="BH123" s="58"/>
    </row>
    <row r="124" spans="7:60" ht="12.75">
      <c r="G124" s="29" t="s">
        <v>0</v>
      </c>
      <c r="H124" s="17" t="s">
        <v>4</v>
      </c>
      <c r="I124" s="6"/>
      <c r="J124" s="18" t="s">
        <v>5</v>
      </c>
      <c r="K124" s="18" t="s">
        <v>46</v>
      </c>
      <c r="L124" s="6" t="s">
        <v>3</v>
      </c>
      <c r="M124" s="19" t="s">
        <v>47</v>
      </c>
      <c r="BH124" s="58"/>
    </row>
    <row r="125" spans="1:60" ht="12.75">
      <c r="A125" s="1"/>
      <c r="G125" s="67">
        <v>1</v>
      </c>
      <c r="H125" s="20">
        <v>1619000</v>
      </c>
      <c r="I125" s="21">
        <f aca="true" t="shared" si="24" ref="I125:I131">I126+H125</f>
        <v>23077200</v>
      </c>
      <c r="J125" s="22">
        <v>-2253500</v>
      </c>
      <c r="K125" s="22">
        <f>J125/1.95583</f>
        <v>-1152196.2542756784</v>
      </c>
      <c r="L125" s="9">
        <f aca="true" t="shared" si="25" ref="L125:L135">J125*1000/H125</f>
        <v>-1391.9085855466337</v>
      </c>
      <c r="M125" s="49">
        <f>L125/1.95583</f>
        <v>-711.671559157306</v>
      </c>
      <c r="BH125" s="58"/>
    </row>
    <row r="126" spans="1:60" ht="12.75">
      <c r="A126" s="1"/>
      <c r="G126" s="67">
        <v>25000</v>
      </c>
      <c r="H126" s="20">
        <f>1410200+1406400+1154000+1186600+3557400</f>
        <v>8714600</v>
      </c>
      <c r="I126" s="21">
        <f t="shared" si="24"/>
        <v>21458200</v>
      </c>
      <c r="J126" s="22">
        <f>2555900+8321500+11509100+16652800+73988800</f>
        <v>113028100</v>
      </c>
      <c r="K126" s="22">
        <f aca="true" t="shared" si="26" ref="K126:K134">J126/1.95583</f>
        <v>57790349.87703431</v>
      </c>
      <c r="L126" s="9">
        <f t="shared" si="25"/>
        <v>12969.969935510522</v>
      </c>
      <c r="M126" s="49">
        <f aca="true" t="shared" si="27" ref="M126:M134">L126/1.95583</f>
        <v>6631.440327385571</v>
      </c>
      <c r="BH126" s="58"/>
    </row>
    <row r="127" spans="1:60" ht="12.75">
      <c r="A127" s="1"/>
      <c r="G127" s="67">
        <v>100000</v>
      </c>
      <c r="H127" s="20">
        <f>3301200+5596500+2705600+588700</f>
        <v>12192000</v>
      </c>
      <c r="I127" s="21">
        <f t="shared" si="24"/>
        <v>12743600</v>
      </c>
      <c r="J127" s="22">
        <f>94028500+223049600+160363100+49966200</f>
        <v>527407400</v>
      </c>
      <c r="K127" s="22">
        <f t="shared" si="26"/>
        <v>269659121.7028065</v>
      </c>
      <c r="L127" s="9">
        <f t="shared" si="25"/>
        <v>43258.48097112861</v>
      </c>
      <c r="M127" s="49">
        <f t="shared" si="27"/>
        <v>22117.710113419165</v>
      </c>
      <c r="BH127" s="58"/>
    </row>
    <row r="128" spans="1:60" ht="12.75">
      <c r="A128" s="1"/>
      <c r="G128" s="67">
        <v>250000</v>
      </c>
      <c r="H128" s="20">
        <v>444900</v>
      </c>
      <c r="I128" s="21">
        <f t="shared" si="24"/>
        <v>551600</v>
      </c>
      <c r="J128" s="22">
        <v>63338500</v>
      </c>
      <c r="K128" s="22">
        <f t="shared" si="26"/>
        <v>32384460.817146685</v>
      </c>
      <c r="L128" s="9">
        <f t="shared" si="25"/>
        <v>142365.70015733872</v>
      </c>
      <c r="M128" s="49">
        <f t="shared" si="27"/>
        <v>72790.42665126249</v>
      </c>
      <c r="BH128" s="58"/>
    </row>
    <row r="129" spans="1:60" ht="12.75">
      <c r="A129" s="1"/>
      <c r="G129" s="67">
        <v>500000</v>
      </c>
      <c r="H129" s="20">
        <v>74800</v>
      </c>
      <c r="I129" s="21">
        <f t="shared" si="24"/>
        <v>106700</v>
      </c>
      <c r="J129" s="22">
        <v>25145800</v>
      </c>
      <c r="K129" s="22">
        <f t="shared" si="26"/>
        <v>12856843.386183871</v>
      </c>
      <c r="L129" s="9">
        <f t="shared" si="25"/>
        <v>336173.79679144383</v>
      </c>
      <c r="M129" s="49">
        <f t="shared" si="27"/>
        <v>171882.9329703726</v>
      </c>
      <c r="BH129" s="58"/>
    </row>
    <row r="130" spans="1:60" ht="12.75">
      <c r="A130" s="1"/>
      <c r="G130" s="67">
        <v>1000000</v>
      </c>
      <c r="H130" s="20">
        <v>21700</v>
      </c>
      <c r="I130" s="21">
        <f t="shared" si="24"/>
        <v>31900</v>
      </c>
      <c r="J130" s="22">
        <v>14600700</v>
      </c>
      <c r="K130" s="22">
        <f t="shared" si="26"/>
        <v>7465219.369781627</v>
      </c>
      <c r="L130" s="9">
        <f t="shared" si="25"/>
        <v>672843.3179723503</v>
      </c>
      <c r="M130" s="49">
        <f t="shared" si="27"/>
        <v>344019.3257963884</v>
      </c>
      <c r="BH130" s="58"/>
    </row>
    <row r="131" spans="1:60" ht="12.75">
      <c r="A131" s="1"/>
      <c r="G131" s="67">
        <v>2000000</v>
      </c>
      <c r="H131" s="20">
        <v>6800</v>
      </c>
      <c r="I131" s="21">
        <f t="shared" si="24"/>
        <v>10200</v>
      </c>
      <c r="J131" s="22">
        <v>9142800</v>
      </c>
      <c r="K131" s="22">
        <f t="shared" si="26"/>
        <v>4674639.411400787</v>
      </c>
      <c r="L131" s="9">
        <f t="shared" si="25"/>
        <v>1344529.4117647058</v>
      </c>
      <c r="M131" s="49">
        <f t="shared" si="27"/>
        <v>687446.9722648215</v>
      </c>
      <c r="BH131" s="58"/>
    </row>
    <row r="132" spans="1:60" ht="12.75">
      <c r="A132" s="1"/>
      <c r="G132" s="67">
        <v>5000000</v>
      </c>
      <c r="H132" s="20">
        <v>2700</v>
      </c>
      <c r="I132" s="21">
        <f>I133+H132</f>
        <v>3400</v>
      </c>
      <c r="J132" s="22">
        <v>7899700</v>
      </c>
      <c r="K132" s="22">
        <f t="shared" si="26"/>
        <v>4039052.473885767</v>
      </c>
      <c r="L132" s="9">
        <f t="shared" si="25"/>
        <v>2925814.814814815</v>
      </c>
      <c r="M132" s="49">
        <f t="shared" si="27"/>
        <v>1495945.3606984324</v>
      </c>
      <c r="BH132" s="58"/>
    </row>
    <row r="133" spans="1:60" ht="12.75">
      <c r="A133" s="1"/>
      <c r="G133" s="67">
        <v>10000000</v>
      </c>
      <c r="H133" s="20">
        <v>500</v>
      </c>
      <c r="I133" s="24">
        <f>I134+H133</f>
        <v>700</v>
      </c>
      <c r="J133" s="22">
        <v>3442800</v>
      </c>
      <c r="K133" s="22">
        <f t="shared" si="26"/>
        <v>1760275.688582341</v>
      </c>
      <c r="L133" s="9">
        <f t="shared" si="25"/>
        <v>6885600</v>
      </c>
      <c r="M133" s="49">
        <f t="shared" si="27"/>
        <v>3520551.377164682</v>
      </c>
      <c r="BH133" s="58"/>
    </row>
    <row r="134" spans="1:60" ht="12.75">
      <c r="A134" s="29"/>
      <c r="G134" s="29" t="s">
        <v>1</v>
      </c>
      <c r="H134" s="20">
        <v>200</v>
      </c>
      <c r="I134" s="24">
        <f>I135+H134</f>
        <v>200</v>
      </c>
      <c r="J134" s="22">
        <v>4380500</v>
      </c>
      <c r="K134" s="22">
        <f t="shared" si="26"/>
        <v>2239714.085580035</v>
      </c>
      <c r="L134" s="9">
        <f t="shared" si="25"/>
        <v>21902500</v>
      </c>
      <c r="M134" s="49">
        <f t="shared" si="27"/>
        <v>11198570.427900176</v>
      </c>
      <c r="BH134" s="58"/>
    </row>
    <row r="135" spans="1:60" ht="12.75">
      <c r="A135" s="30"/>
      <c r="G135" s="29" t="s">
        <v>2</v>
      </c>
      <c r="H135" s="20">
        <f>SUM(H125:H134)</f>
        <v>23077200</v>
      </c>
      <c r="I135" s="24"/>
      <c r="J135" s="22">
        <f>SUM(J125:J134)</f>
        <v>766132800</v>
      </c>
      <c r="K135" s="22">
        <f>SUM(K125:K134)</f>
        <v>391717480.5581262</v>
      </c>
      <c r="L135" s="9">
        <f t="shared" si="25"/>
        <v>33198.68961572461</v>
      </c>
      <c r="M135" s="19"/>
      <c r="BH135" s="58"/>
    </row>
    <row r="136" spans="8:60" ht="12.75">
      <c r="H136" s="25"/>
      <c r="I136" s="9"/>
      <c r="J136" s="9"/>
      <c r="K136" s="6"/>
      <c r="L136" s="6"/>
      <c r="M136" s="19"/>
      <c r="BH136" s="58"/>
    </row>
    <row r="137" spans="8:60" ht="12.75">
      <c r="H137" s="20">
        <v>1000</v>
      </c>
      <c r="I137" s="24"/>
      <c r="J137" s="32">
        <f>J134+J133+J132/H132*(H132-I132+1000)</f>
        <v>8701044.444444444</v>
      </c>
      <c r="K137" s="22">
        <f>J137/1.95583</f>
        <v>4448773.382371905</v>
      </c>
      <c r="L137" s="24">
        <f>J137*1000/H137</f>
        <v>8701044.444444444</v>
      </c>
      <c r="M137" s="49">
        <f>L137/1.95583</f>
        <v>4448773.382371905</v>
      </c>
      <c r="BH137" s="58"/>
    </row>
    <row r="138" spans="8:60" ht="12.75">
      <c r="H138" s="20">
        <v>10000</v>
      </c>
      <c r="I138" s="24"/>
      <c r="J138" s="24">
        <f>SUM(J$131:J$134)+J$130/H$130*(H$130-I$130+11000)-J$137</f>
        <v>16703030.209933437</v>
      </c>
      <c r="K138" s="22">
        <f>J138/1.95583</f>
        <v>8540123.737714136</v>
      </c>
      <c r="L138" s="24">
        <f>J138*1000/H138</f>
        <v>1670303.0209933438</v>
      </c>
      <c r="M138" s="49">
        <f>L138/1.95583</f>
        <v>854012.3737714136</v>
      </c>
      <c r="BH138" s="58"/>
    </row>
    <row r="139" spans="8:60" ht="12.75">
      <c r="H139" s="20">
        <v>100000</v>
      </c>
      <c r="I139" s="24"/>
      <c r="J139" s="24">
        <f>SUM(J$129:J$134)+J$128/H$128*(H$128-I$128+111000)-J$137-J$138</f>
        <v>39820397.85629868</v>
      </c>
      <c r="K139" s="22">
        <f>J139/1.95583</f>
        <v>20359846.129928816</v>
      </c>
      <c r="L139" s="24">
        <f>J139*1000/H139</f>
        <v>398203.97856298677</v>
      </c>
      <c r="M139" s="49">
        <f>L139/1.95583</f>
        <v>203598.46129928817</v>
      </c>
      <c r="BH139" s="58"/>
    </row>
    <row r="140" spans="8:60" ht="12.75">
      <c r="H140" s="20">
        <v>1000000</v>
      </c>
      <c r="I140" s="24"/>
      <c r="J140" s="24">
        <f>SUM(J$128:J$134)+J$127/H$127*(H$127-I$127+1111000)-J$137-J$138-J$139</f>
        <v>86925121.74457279</v>
      </c>
      <c r="K140" s="22">
        <f>J140/1.95583</f>
        <v>44444109.01999294</v>
      </c>
      <c r="L140" s="24">
        <f>J140*1000/H140</f>
        <v>86925.12174457278</v>
      </c>
      <c r="M140" s="49">
        <f>L140/1.95583</f>
        <v>44444.10901999294</v>
      </c>
      <c r="BH140" s="58"/>
    </row>
    <row r="141" spans="8:60" ht="12.75">
      <c r="H141" s="26">
        <f>H135-SUM(H137:H140)</f>
        <v>21966200</v>
      </c>
      <c r="I141" s="46">
        <f>H141/H135</f>
        <v>0.9518572443797341</v>
      </c>
      <c r="J141" s="27">
        <f>J135-SUM(J137:J140)</f>
        <v>613983205.7447506</v>
      </c>
      <c r="K141" s="66">
        <f>J141/1.95583</f>
        <v>313924628.2881184</v>
      </c>
      <c r="L141" s="27">
        <f>J141*1000/H141</f>
        <v>27951.270849976354</v>
      </c>
      <c r="M141" s="50">
        <f>L141/1.95583</f>
        <v>14291.257854709434</v>
      </c>
      <c r="BH141" s="58"/>
    </row>
    <row r="142" ht="12.75">
      <c r="BG142" s="58"/>
    </row>
    <row r="143" spans="1:60" ht="12.75">
      <c r="A143" s="29"/>
      <c r="H143" s="29" t="s">
        <v>45</v>
      </c>
      <c r="I143" s="65">
        <v>1983</v>
      </c>
      <c r="J143" s="31" t="s">
        <v>20</v>
      </c>
      <c r="K143" s="15"/>
      <c r="L143" s="15"/>
      <c r="M143" s="15"/>
      <c r="N143" s="16"/>
      <c r="BH143" s="58"/>
    </row>
    <row r="144" spans="8:60" ht="12.75">
      <c r="H144" s="29" t="s">
        <v>0</v>
      </c>
      <c r="I144" s="17" t="s">
        <v>4</v>
      </c>
      <c r="J144" s="6"/>
      <c r="K144" s="18" t="s">
        <v>5</v>
      </c>
      <c r="L144" s="18" t="s">
        <v>46</v>
      </c>
      <c r="M144" s="6" t="s">
        <v>3</v>
      </c>
      <c r="N144" s="19" t="s">
        <v>47</v>
      </c>
      <c r="BH144" s="58"/>
    </row>
    <row r="145" spans="1:60" ht="12.75">
      <c r="A145" s="1"/>
      <c r="H145" s="67">
        <v>1</v>
      </c>
      <c r="I145" s="20">
        <v>1750400</v>
      </c>
      <c r="J145" s="21">
        <f aca="true" t="shared" si="28" ref="J145:J151">J146+I145</f>
        <v>23566000</v>
      </c>
      <c r="K145" s="22">
        <v>-5016500</v>
      </c>
      <c r="L145" s="22">
        <f>K145/1.95583</f>
        <v>-2564895.72202083</v>
      </c>
      <c r="M145" s="9">
        <f aca="true" t="shared" si="29" ref="M145:M155">K145*1000/I145</f>
        <v>-2865.916361974406</v>
      </c>
      <c r="N145" s="49">
        <f>M145/1.95583</f>
        <v>-1465.3197680649166</v>
      </c>
      <c r="BH145" s="58"/>
    </row>
    <row r="146" spans="1:60" ht="12.75">
      <c r="A146" s="1"/>
      <c r="H146" s="67">
        <v>25000</v>
      </c>
      <c r="I146" s="20">
        <f>1437700+1402600+1161200+1101700+1204200+1809700</f>
        <v>8117100</v>
      </c>
      <c r="J146" s="21">
        <f t="shared" si="28"/>
        <v>21815600</v>
      </c>
      <c r="K146" s="22">
        <f>2566600+8472700+11577200+15424800+21733300+40898400</f>
        <v>100673000</v>
      </c>
      <c r="L146" s="22">
        <f aca="true" t="shared" si="30" ref="L146:L154">K146/1.95583</f>
        <v>51473287.5556669</v>
      </c>
      <c r="M146" s="9">
        <f t="shared" si="29"/>
        <v>12402.582203003536</v>
      </c>
      <c r="N146" s="49">
        <f aca="true" t="shared" si="31" ref="N146:N154">M146/1.95583</f>
        <v>6341.339586264417</v>
      </c>
      <c r="BH146" s="58"/>
    </row>
    <row r="147" spans="1:60" ht="12.75">
      <c r="A147" s="1"/>
      <c r="H147" s="67">
        <v>100000</v>
      </c>
      <c r="I147" s="20">
        <f>2144700+4045000+2670000+1821900+1483700+871000</f>
        <v>13036300</v>
      </c>
      <c r="J147" s="21">
        <f t="shared" si="28"/>
        <v>13698500</v>
      </c>
      <c r="K147" s="22">
        <f>59055500+140525200+119266800+99575200+98587100+73915400</f>
        <v>590925200</v>
      </c>
      <c r="L147" s="22">
        <f t="shared" si="30"/>
        <v>302135257.15425164</v>
      </c>
      <c r="M147" s="9">
        <f t="shared" si="29"/>
        <v>45329.21150940067</v>
      </c>
      <c r="N147" s="49">
        <f t="shared" si="31"/>
        <v>23176.45782578275</v>
      </c>
      <c r="BH147" s="58"/>
    </row>
    <row r="148" spans="1:60" ht="12.75">
      <c r="A148" s="1"/>
      <c r="H148" s="67">
        <v>250000</v>
      </c>
      <c r="I148" s="20">
        <v>555700</v>
      </c>
      <c r="J148" s="21">
        <f t="shared" si="28"/>
        <v>662200</v>
      </c>
      <c r="K148" s="28">
        <v>76877300</v>
      </c>
      <c r="L148" s="22">
        <f t="shared" si="30"/>
        <v>39306739.33828605</v>
      </c>
      <c r="M148" s="9">
        <f t="shared" si="29"/>
        <v>138343.17077559835</v>
      </c>
      <c r="N148" s="49">
        <f t="shared" si="31"/>
        <v>70733.7400365054</v>
      </c>
      <c r="BH148" s="58"/>
    </row>
    <row r="149" spans="1:60" ht="12.75">
      <c r="A149" s="1"/>
      <c r="H149" s="67">
        <v>500000</v>
      </c>
      <c r="I149" s="20">
        <v>75000</v>
      </c>
      <c r="J149" s="21">
        <f t="shared" si="28"/>
        <v>106500</v>
      </c>
      <c r="K149" s="22">
        <v>25186600</v>
      </c>
      <c r="L149" s="22">
        <f t="shared" si="30"/>
        <v>12877704.094936676</v>
      </c>
      <c r="M149" s="9">
        <f t="shared" si="29"/>
        <v>335821.3333333333</v>
      </c>
      <c r="N149" s="49">
        <f t="shared" si="31"/>
        <v>171702.72126582236</v>
      </c>
      <c r="BH149" s="58"/>
    </row>
    <row r="150" spans="1:60" ht="12.75">
      <c r="A150" s="1"/>
      <c r="H150" s="67">
        <v>1000000</v>
      </c>
      <c r="I150" s="20">
        <v>21100</v>
      </c>
      <c r="J150" s="21">
        <f t="shared" si="28"/>
        <v>31500</v>
      </c>
      <c r="K150" s="22">
        <v>14185500</v>
      </c>
      <c r="L150" s="22">
        <f t="shared" si="30"/>
        <v>7252930.980708958</v>
      </c>
      <c r="M150" s="9">
        <f t="shared" si="29"/>
        <v>672298.5781990521</v>
      </c>
      <c r="N150" s="49">
        <f t="shared" si="31"/>
        <v>343740.8047729364</v>
      </c>
      <c r="BH150" s="58"/>
    </row>
    <row r="151" spans="1:60" ht="12.75">
      <c r="A151" s="1"/>
      <c r="H151" s="67">
        <v>2000000</v>
      </c>
      <c r="I151" s="20">
        <v>6700</v>
      </c>
      <c r="J151" s="21">
        <f t="shared" si="28"/>
        <v>10400</v>
      </c>
      <c r="K151" s="22">
        <v>9046600</v>
      </c>
      <c r="L151" s="22">
        <f t="shared" si="30"/>
        <v>4625453.132429711</v>
      </c>
      <c r="M151" s="9">
        <f t="shared" si="29"/>
        <v>1350238.8059701493</v>
      </c>
      <c r="N151" s="49">
        <f t="shared" si="31"/>
        <v>690366.1391686135</v>
      </c>
      <c r="BH151" s="58"/>
    </row>
    <row r="152" spans="1:60" ht="12.75">
      <c r="A152" s="1"/>
      <c r="H152" s="67">
        <v>5000000</v>
      </c>
      <c r="I152" s="20">
        <v>2800</v>
      </c>
      <c r="J152" s="21">
        <f>J153+I152</f>
        <v>3700</v>
      </c>
      <c r="K152" s="22">
        <v>8192100</v>
      </c>
      <c r="L152" s="22">
        <f t="shared" si="30"/>
        <v>4188554.2199475416</v>
      </c>
      <c r="M152" s="9">
        <f t="shared" si="29"/>
        <v>2925750</v>
      </c>
      <c r="N152" s="49">
        <f t="shared" si="31"/>
        <v>1495912.2214098363</v>
      </c>
      <c r="BH152" s="58"/>
    </row>
    <row r="153" spans="1:60" ht="12.75">
      <c r="A153" s="1"/>
      <c r="H153" s="67">
        <v>10000000</v>
      </c>
      <c r="I153" s="20">
        <v>600</v>
      </c>
      <c r="J153" s="24">
        <f>J154+I153</f>
        <v>900</v>
      </c>
      <c r="K153" s="22">
        <v>4150000</v>
      </c>
      <c r="L153" s="22">
        <f t="shared" si="30"/>
        <v>2121861.3069643066</v>
      </c>
      <c r="M153" s="9">
        <f t="shared" si="29"/>
        <v>6916666.666666667</v>
      </c>
      <c r="N153" s="49">
        <f t="shared" si="31"/>
        <v>3536435.511607178</v>
      </c>
      <c r="BH153" s="58"/>
    </row>
    <row r="154" spans="1:60" ht="12.75">
      <c r="A154" s="29"/>
      <c r="H154" s="29" t="s">
        <v>1</v>
      </c>
      <c r="I154" s="20">
        <v>300</v>
      </c>
      <c r="J154" s="24">
        <f>J155+I154</f>
        <v>300</v>
      </c>
      <c r="K154" s="22">
        <v>5593400</v>
      </c>
      <c r="L154" s="22">
        <f t="shared" si="30"/>
        <v>2859860.0082829287</v>
      </c>
      <c r="M154" s="9">
        <f t="shared" si="29"/>
        <v>18644666.666666668</v>
      </c>
      <c r="N154" s="49">
        <f t="shared" si="31"/>
        <v>9532866.69427643</v>
      </c>
      <c r="BH154" s="58"/>
    </row>
    <row r="155" spans="1:60" ht="12.75">
      <c r="A155" s="30"/>
      <c r="H155" s="29" t="s">
        <v>2</v>
      </c>
      <c r="I155" s="20">
        <f>SUM(I145:I154)</f>
        <v>23566000</v>
      </c>
      <c r="J155" s="24"/>
      <c r="K155" s="22">
        <f>SUM(K145:K154)</f>
        <v>829813200</v>
      </c>
      <c r="L155" s="22">
        <f>SUM(L145:L154)</f>
        <v>424276752.0694538</v>
      </c>
      <c r="M155" s="9">
        <f t="shared" si="29"/>
        <v>35212.30586438089</v>
      </c>
      <c r="N155" s="19"/>
      <c r="BH155" s="58"/>
    </row>
    <row r="156" spans="9:60" ht="12.75">
      <c r="I156" s="25"/>
      <c r="J156" s="9"/>
      <c r="K156" s="9"/>
      <c r="L156" s="6"/>
      <c r="M156" s="6"/>
      <c r="N156" s="19"/>
      <c r="BH156" s="58"/>
    </row>
    <row r="157" spans="9:60" ht="12.75">
      <c r="I157" s="20">
        <v>1000</v>
      </c>
      <c r="J157" s="24"/>
      <c r="K157" s="32">
        <f>K154+K153+K152/I152*(I152-J152+1000)</f>
        <v>10035975</v>
      </c>
      <c r="L157" s="22">
        <f>K157/1.95583</f>
        <v>5131312.537388219</v>
      </c>
      <c r="M157" s="24">
        <f>K157*1000/I157</f>
        <v>10035975</v>
      </c>
      <c r="N157" s="49">
        <f>M157/1.95583</f>
        <v>5131312.537388219</v>
      </c>
      <c r="BH157" s="58"/>
    </row>
    <row r="158" spans="9:60" ht="12.75">
      <c r="I158" s="20">
        <v>10000</v>
      </c>
      <c r="J158" s="24"/>
      <c r="K158" s="24">
        <f>SUM(K$151:K$154)+K$150/I$150*(I$150-J$150+11000)-K$157</f>
        <v>17349504.146919433</v>
      </c>
      <c r="L158" s="22">
        <f>K158/1.95583</f>
        <v>8870660.613100031</v>
      </c>
      <c r="M158" s="24">
        <f>K158*1000/I158</f>
        <v>1734950.4146919434</v>
      </c>
      <c r="N158" s="49">
        <f>M158/1.95583</f>
        <v>887066.0613100032</v>
      </c>
      <c r="BH158" s="58"/>
    </row>
    <row r="159" spans="9:60" ht="12.75">
      <c r="I159" s="20">
        <v>100000</v>
      </c>
      <c r="J159" s="24"/>
      <c r="K159" s="24">
        <f>SUM(K$149:K$154)+K$148/I$148*(I$148-J$148+111000)-K$157-K$158</f>
        <v>39591265.121570766</v>
      </c>
      <c r="L159" s="22">
        <f>K159/1.95583</f>
        <v>20242692.422946148</v>
      </c>
      <c r="M159" s="24">
        <f>K159*1000/I159</f>
        <v>395912.65121570765</v>
      </c>
      <c r="N159" s="49">
        <f>M159/1.95583</f>
        <v>202426.9242294615</v>
      </c>
      <c r="BH159" s="58"/>
    </row>
    <row r="160" spans="9:60" ht="12.75">
      <c r="I160" s="20">
        <v>1000000</v>
      </c>
      <c r="J160" s="24"/>
      <c r="K160" s="24">
        <f>SUM(K$148:K$154)+K$147/I$147*(I$147-J$147+1111000)-K$157-K$158-K$159</f>
        <v>96598505.85692883</v>
      </c>
      <c r="L160" s="22">
        <f>K160/1.95583</f>
        <v>49390031.78033307</v>
      </c>
      <c r="M160" s="24">
        <f>K160*1000/I160</f>
        <v>96598.50585692884</v>
      </c>
      <c r="N160" s="49">
        <f>M160/1.95583</f>
        <v>49390.031780333076</v>
      </c>
      <c r="BH160" s="58"/>
    </row>
    <row r="161" spans="9:60" ht="12.75">
      <c r="I161" s="26">
        <f>I155-SUM(I157:I160)</f>
        <v>22455000</v>
      </c>
      <c r="J161" s="46">
        <f>I161/I155</f>
        <v>0.9528558092166681</v>
      </c>
      <c r="K161" s="27">
        <f>K155-SUM(K157:K160)</f>
        <v>666237949.874581</v>
      </c>
      <c r="L161" s="66">
        <f>K161/1.95583</f>
        <v>340642054.71568644</v>
      </c>
      <c r="M161" s="27">
        <f>K161*1000/I161</f>
        <v>29669.91538074286</v>
      </c>
      <c r="N161" s="50">
        <f>M161/1.95583</f>
        <v>15169.986849952635</v>
      </c>
      <c r="BH161" s="58"/>
    </row>
    <row r="162" ht="12.75">
      <c r="BG162" s="58"/>
    </row>
    <row r="163" spans="1:60" ht="12.75">
      <c r="A163" s="29"/>
      <c r="I163" s="29" t="s">
        <v>45</v>
      </c>
      <c r="J163" s="65">
        <v>1986</v>
      </c>
      <c r="K163" s="31" t="s">
        <v>21</v>
      </c>
      <c r="L163" s="15"/>
      <c r="M163" s="15"/>
      <c r="N163" s="15"/>
      <c r="O163" s="16"/>
      <c r="BH163" s="58"/>
    </row>
    <row r="164" spans="9:60" ht="12.75">
      <c r="I164" s="29" t="s">
        <v>0</v>
      </c>
      <c r="J164" s="17" t="s">
        <v>4</v>
      </c>
      <c r="K164" s="6"/>
      <c r="L164" s="18" t="s">
        <v>5</v>
      </c>
      <c r="M164" s="18" t="s">
        <v>46</v>
      </c>
      <c r="N164" s="6" t="s">
        <v>3</v>
      </c>
      <c r="O164" s="19" t="s">
        <v>47</v>
      </c>
      <c r="BH164" s="58"/>
    </row>
    <row r="165" spans="1:60" ht="12.75">
      <c r="A165" s="1"/>
      <c r="I165" s="67">
        <v>1</v>
      </c>
      <c r="J165" s="20">
        <v>509400</v>
      </c>
      <c r="K165" s="21">
        <f aca="true" t="shared" si="32" ref="K165:K171">K166+J165</f>
        <v>23405031</v>
      </c>
      <c r="L165" s="22">
        <v>-3774900</v>
      </c>
      <c r="M165" s="22">
        <f>L165/1.95583</f>
        <v>-1930075.7223276051</v>
      </c>
      <c r="N165" s="9">
        <f aca="true" t="shared" si="33" ref="N165:N175">L165*1000/J165</f>
        <v>-7410.482921083628</v>
      </c>
      <c r="O165" s="49">
        <f>N165/1.95583</f>
        <v>-3788.9197532932963</v>
      </c>
      <c r="BH165" s="58"/>
    </row>
    <row r="166" spans="1:60" ht="12.75">
      <c r="A166" s="1"/>
      <c r="I166" s="67">
        <v>25000</v>
      </c>
      <c r="J166" s="20">
        <f>1445193+1455501+1240466+1110656+1133458+1629443</f>
        <v>8014717</v>
      </c>
      <c r="K166" s="21">
        <f t="shared" si="32"/>
        <v>22895631</v>
      </c>
      <c r="L166" s="22">
        <f>2611324+8889209+12310854+15492707+20431480+36787063</f>
        <v>96522637</v>
      </c>
      <c r="M166" s="22">
        <f aca="true" t="shared" si="34" ref="M166:M174">L166/1.95583</f>
        <v>49351240.649749726</v>
      </c>
      <c r="N166" s="9">
        <f t="shared" si="33"/>
        <v>12043.174699742985</v>
      </c>
      <c r="O166" s="49">
        <f aca="true" t="shared" si="35" ref="O166:O174">N166/1.95583</f>
        <v>6157.577447806295</v>
      </c>
      <c r="BH166" s="58"/>
    </row>
    <row r="167" spans="1:60" ht="12.75">
      <c r="A167" s="1"/>
      <c r="I167" s="67">
        <v>100000</v>
      </c>
      <c r="J167" s="20">
        <f>1915122+3997080+2926589+2007754+1869128+1239704</f>
        <v>13955377</v>
      </c>
      <c r="K167" s="21">
        <f t="shared" si="32"/>
        <v>14880914</v>
      </c>
      <c r="L167" s="22">
        <f>52755423+139537186+130645559+109866418+124626692+105452857</f>
        <v>662884135</v>
      </c>
      <c r="M167" s="22">
        <f t="shared" si="34"/>
        <v>338927276.39927804</v>
      </c>
      <c r="N167" s="9">
        <f t="shared" si="33"/>
        <v>47500.26710134739</v>
      </c>
      <c r="O167" s="49">
        <f t="shared" si="35"/>
        <v>24286.500923570755</v>
      </c>
      <c r="BH167" s="58"/>
    </row>
    <row r="168" spans="1:60" ht="12.75">
      <c r="A168" s="1"/>
      <c r="I168" s="67">
        <v>250000</v>
      </c>
      <c r="J168" s="20">
        <v>791632</v>
      </c>
      <c r="K168" s="21">
        <f t="shared" si="32"/>
        <v>925537</v>
      </c>
      <c r="L168" s="22">
        <v>108065687</v>
      </c>
      <c r="M168" s="22">
        <f t="shared" si="34"/>
        <v>55253108.398991734</v>
      </c>
      <c r="N168" s="9">
        <f t="shared" si="33"/>
        <v>136510.0033854114</v>
      </c>
      <c r="O168" s="49">
        <f t="shared" si="35"/>
        <v>69796.45643302915</v>
      </c>
      <c r="BH168" s="58"/>
    </row>
    <row r="169" spans="1:60" ht="12.75">
      <c r="A169" s="1"/>
      <c r="I169" s="67">
        <v>500000</v>
      </c>
      <c r="J169" s="20">
        <v>93668</v>
      </c>
      <c r="K169" s="21">
        <f t="shared" si="32"/>
        <v>133905</v>
      </c>
      <c r="L169" s="22">
        <v>31433849</v>
      </c>
      <c r="M169" s="22">
        <f t="shared" si="34"/>
        <v>16071871.788447872</v>
      </c>
      <c r="N169" s="9">
        <f t="shared" si="33"/>
        <v>335587.9168979801</v>
      </c>
      <c r="O169" s="49">
        <f t="shared" si="35"/>
        <v>171583.3773374885</v>
      </c>
      <c r="BH169" s="58"/>
    </row>
    <row r="170" spans="1:60" ht="12.75">
      <c r="A170" s="1"/>
      <c r="I170" s="67">
        <v>1000000</v>
      </c>
      <c r="J170" s="20">
        <v>26575</v>
      </c>
      <c r="K170" s="21">
        <f t="shared" si="32"/>
        <v>40237</v>
      </c>
      <c r="L170" s="22">
        <v>17893332</v>
      </c>
      <c r="M170" s="22">
        <f t="shared" si="34"/>
        <v>9148715.379148494</v>
      </c>
      <c r="N170" s="9">
        <f t="shared" si="33"/>
        <v>673314.4684854186</v>
      </c>
      <c r="O170" s="49">
        <f t="shared" si="35"/>
        <v>344260.22122854163</v>
      </c>
      <c r="BH170" s="58"/>
    </row>
    <row r="171" spans="1:60" ht="12.75">
      <c r="A171" s="1"/>
      <c r="I171" s="67">
        <v>2000000</v>
      </c>
      <c r="J171" s="20">
        <v>8633</v>
      </c>
      <c r="K171" s="21">
        <f t="shared" si="32"/>
        <v>13662</v>
      </c>
      <c r="L171" s="22">
        <v>11769895</v>
      </c>
      <c r="M171" s="22">
        <f t="shared" si="34"/>
        <v>6017851.756031966</v>
      </c>
      <c r="N171" s="9">
        <f t="shared" si="33"/>
        <v>1363360.9405768563</v>
      </c>
      <c r="O171" s="49">
        <f t="shared" si="35"/>
        <v>697075.3800569867</v>
      </c>
      <c r="BH171" s="58"/>
    </row>
    <row r="172" spans="1:60" ht="12.75">
      <c r="A172" s="1"/>
      <c r="I172" s="67">
        <v>5000000</v>
      </c>
      <c r="J172" s="20">
        <v>3673</v>
      </c>
      <c r="K172" s="21">
        <f>K173+J172</f>
        <v>5029</v>
      </c>
      <c r="L172" s="22">
        <v>10950806</v>
      </c>
      <c r="M172" s="22">
        <f t="shared" si="34"/>
        <v>5599058.200354837</v>
      </c>
      <c r="N172" s="9">
        <f t="shared" si="33"/>
        <v>2981433.7054179143</v>
      </c>
      <c r="O172" s="49">
        <f t="shared" si="35"/>
        <v>1524382.8479049378</v>
      </c>
      <c r="BH172" s="58"/>
    </row>
    <row r="173" spans="1:60" ht="12.75">
      <c r="A173" s="1"/>
      <c r="I173" s="67">
        <v>10000000</v>
      </c>
      <c r="J173" s="20">
        <v>892</v>
      </c>
      <c r="K173" s="24">
        <f>K174+J173</f>
        <v>1356</v>
      </c>
      <c r="L173" s="22">
        <v>6041834</v>
      </c>
      <c r="M173" s="22">
        <f t="shared" si="34"/>
        <v>3089140.6717352737</v>
      </c>
      <c r="N173" s="9">
        <f t="shared" si="33"/>
        <v>6773356.502242153</v>
      </c>
      <c r="O173" s="49">
        <f t="shared" si="35"/>
        <v>3463162.188044029</v>
      </c>
      <c r="BH173" s="58"/>
    </row>
    <row r="174" spans="1:60" ht="12.75">
      <c r="A174" s="29"/>
      <c r="I174" s="29" t="s">
        <v>1</v>
      </c>
      <c r="J174" s="20">
        <v>464</v>
      </c>
      <c r="K174" s="24">
        <f>K175+J174</f>
        <v>464</v>
      </c>
      <c r="L174" s="22">
        <v>10749792</v>
      </c>
      <c r="M174" s="22">
        <f t="shared" si="34"/>
        <v>5496281.37414806</v>
      </c>
      <c r="N174" s="9">
        <f t="shared" si="33"/>
        <v>23167655.172413792</v>
      </c>
      <c r="O174" s="49">
        <f t="shared" si="35"/>
        <v>11845433.99600875</v>
      </c>
      <c r="BH174" s="58"/>
    </row>
    <row r="175" spans="1:60" ht="12.75">
      <c r="A175" s="30"/>
      <c r="I175" s="29" t="s">
        <v>2</v>
      </c>
      <c r="J175" s="20">
        <f>SUM(J165:J174)</f>
        <v>23405031</v>
      </c>
      <c r="K175" s="24"/>
      <c r="L175" s="22">
        <f>SUM(L165:L174)</f>
        <v>952537067</v>
      </c>
      <c r="M175" s="22">
        <f>SUM(M165:M174)</f>
        <v>487024468.8955584</v>
      </c>
      <c r="N175" s="9">
        <f t="shared" si="33"/>
        <v>40697.9622030836</v>
      </c>
      <c r="O175" s="19"/>
      <c r="BH175" s="58"/>
    </row>
    <row r="176" spans="10:60" ht="12.75">
      <c r="J176" s="25"/>
      <c r="K176" s="9"/>
      <c r="L176" s="9"/>
      <c r="M176" s="6"/>
      <c r="N176" s="6"/>
      <c r="O176" s="19"/>
      <c r="BH176" s="58"/>
    </row>
    <row r="177" spans="10:60" ht="12.75">
      <c r="J177" s="20">
        <v>1000</v>
      </c>
      <c r="K177" s="24"/>
      <c r="L177" s="32">
        <f>L174+L173/J173*(J173-K173+1000)</f>
        <v>14380311.085201794</v>
      </c>
      <c r="M177" s="22">
        <f>L177/1.95583</f>
        <v>7352536.30693966</v>
      </c>
      <c r="N177" s="24">
        <f>L177*1000/J177</f>
        <v>14380311.085201794</v>
      </c>
      <c r="O177" s="49">
        <f>N177/1.95583</f>
        <v>7352536.30693966</v>
      </c>
      <c r="BH177" s="58"/>
    </row>
    <row r="178" spans="10:60" ht="12.75">
      <c r="J178" s="20">
        <v>10000</v>
      </c>
      <c r="K178" s="24"/>
      <c r="L178" s="24">
        <f>SUM(L$172:L$174)+L$171/J$171*(J$171-K$171+11000)-L$177</f>
        <v>21502749.090982616</v>
      </c>
      <c r="M178" s="22">
        <f>L178/1.95583</f>
        <v>10994181.03361878</v>
      </c>
      <c r="N178" s="24">
        <f>L178*1000/J178</f>
        <v>2150274.9090982615</v>
      </c>
      <c r="O178" s="49">
        <f>N178/1.95583</f>
        <v>1099418.1033618778</v>
      </c>
      <c r="BH178" s="58"/>
    </row>
    <row r="179" spans="10:60" ht="12.75">
      <c r="J179" s="20">
        <v>100000</v>
      </c>
      <c r="K179" s="24"/>
      <c r="L179" s="24">
        <f>SUM(L$170:L$174)+L$169/J$169*(J$169-K$169+111000)-L$177-L$178</f>
        <v>45269806.58726736</v>
      </c>
      <c r="M179" s="22">
        <f>L179/1.95583</f>
        <v>23146084.571392894</v>
      </c>
      <c r="N179" s="24">
        <f>L179*1000/J179</f>
        <v>452698.06587267364</v>
      </c>
      <c r="O179" s="49">
        <f>N179/1.95583</f>
        <v>231460.84571392895</v>
      </c>
      <c r="BH179" s="58"/>
    </row>
    <row r="180" spans="10:60" ht="12.75">
      <c r="J180" s="20">
        <v>1000000</v>
      </c>
      <c r="K180" s="24"/>
      <c r="L180" s="24">
        <f>SUM(L$168:L$174)+L$167/J$167*(J$167-K$167+1111000)-L$177-L$178-L$179</f>
        <v>124561870.27396542</v>
      </c>
      <c r="M180" s="22">
        <f>L180/1.95583</f>
        <v>63687472.97769511</v>
      </c>
      <c r="N180" s="24">
        <f>L180*1000/J180</f>
        <v>124561.87027396543</v>
      </c>
      <c r="O180" s="49">
        <f>N180/1.95583</f>
        <v>63687.47297769511</v>
      </c>
      <c r="BH180" s="58"/>
    </row>
    <row r="181" spans="10:60" ht="12.75">
      <c r="J181" s="26">
        <f>J175-SUM(J177:J180)</f>
        <v>22294031</v>
      </c>
      <c r="K181" s="46">
        <f>J181/J175</f>
        <v>0.9525315732331224</v>
      </c>
      <c r="L181" s="27">
        <f>L175-SUM(L177:L180)</f>
        <v>746822329.9625828</v>
      </c>
      <c r="M181" s="66">
        <f>L181/1.95583</f>
        <v>381844194.005912</v>
      </c>
      <c r="N181" s="27">
        <f>L181*1000/J181</f>
        <v>33498.75713201363</v>
      </c>
      <c r="O181" s="50">
        <f>N181/1.95583</f>
        <v>17127.64255176249</v>
      </c>
      <c r="BH181" s="58"/>
    </row>
    <row r="182" ht="12.75">
      <c r="BG182" s="58"/>
    </row>
    <row r="183" spans="1:60" ht="12.75">
      <c r="A183" s="29"/>
      <c r="J183" s="29" t="s">
        <v>45</v>
      </c>
      <c r="K183" s="65">
        <v>1989</v>
      </c>
      <c r="L183" s="31" t="s">
        <v>22</v>
      </c>
      <c r="M183" s="15"/>
      <c r="N183" s="15"/>
      <c r="O183" s="15"/>
      <c r="P183" s="16"/>
      <c r="BH183" s="58"/>
    </row>
    <row r="184" spans="10:60" ht="12.75">
      <c r="J184" s="29" t="s">
        <v>0</v>
      </c>
      <c r="K184" s="17" t="s">
        <v>4</v>
      </c>
      <c r="L184" s="6"/>
      <c r="M184" s="18" t="s">
        <v>5</v>
      </c>
      <c r="N184" s="18" t="s">
        <v>46</v>
      </c>
      <c r="O184" s="6" t="s">
        <v>3</v>
      </c>
      <c r="P184" s="19" t="s">
        <v>47</v>
      </c>
      <c r="BH184" s="58"/>
    </row>
    <row r="185" spans="1:60" ht="12.75">
      <c r="A185" s="1"/>
      <c r="J185" s="67">
        <v>1</v>
      </c>
      <c r="K185" s="20">
        <v>857881</v>
      </c>
      <c r="L185" s="21">
        <f aca="true" t="shared" si="36" ref="L185:L191">L186+K185</f>
        <v>23978392</v>
      </c>
      <c r="M185" s="22">
        <v>-2363504</v>
      </c>
      <c r="N185" s="22">
        <f>M185/1.95583</f>
        <v>-1208440.4063747872</v>
      </c>
      <c r="O185" s="9">
        <f aca="true" t="shared" si="37" ref="O185:O195">M185*1000/K185</f>
        <v>-2755.048777161401</v>
      </c>
      <c r="P185" s="49">
        <f>O185/1.95583</f>
        <v>-1408.6340720621943</v>
      </c>
      <c r="BH185" s="58"/>
    </row>
    <row r="186" spans="1:60" ht="12.75">
      <c r="A186" s="1"/>
      <c r="J186" s="67">
        <v>25000</v>
      </c>
      <c r="K186" s="20">
        <f>1300621+1677378+1318591+1232530+1347534</f>
        <v>6876654</v>
      </c>
      <c r="L186" s="21">
        <f t="shared" si="36"/>
        <v>23120511</v>
      </c>
      <c r="M186" s="22">
        <f>3533986+12614997+16373103+21572883+30381107</f>
        <v>84476076</v>
      </c>
      <c r="N186" s="22">
        <f aca="true" t="shared" si="38" ref="N186:N194">M186/1.95583</f>
        <v>43191931.81411473</v>
      </c>
      <c r="O186" s="9">
        <f t="shared" si="37"/>
        <v>12284.47381531774</v>
      </c>
      <c r="P186" s="49">
        <f aca="true" t="shared" si="39" ref="P186:P194">O186/1.95583</f>
        <v>6280.951726539495</v>
      </c>
      <c r="BH186" s="58"/>
    </row>
    <row r="187" spans="1:60" ht="12.75">
      <c r="A187" s="1"/>
      <c r="J187" s="67">
        <v>100000</v>
      </c>
      <c r="K187" s="20">
        <f>1579334+3754162+3163821+2205547+2297899+1809563</f>
        <v>14810326</v>
      </c>
      <c r="L187" s="21">
        <f t="shared" si="36"/>
        <v>16243857</v>
      </c>
      <c r="M187" s="22">
        <f>43531913+131679515+141393334+120731785+153667694+154456938</f>
        <v>745461179</v>
      </c>
      <c r="N187" s="22">
        <f t="shared" si="38"/>
        <v>381148248.56966096</v>
      </c>
      <c r="O187" s="9">
        <f t="shared" si="37"/>
        <v>50333.880496621074</v>
      </c>
      <c r="P187" s="49">
        <f t="shared" si="39"/>
        <v>25735.30444702304</v>
      </c>
      <c r="BH187" s="58"/>
    </row>
    <row r="188" spans="1:60" ht="12.75">
      <c r="A188" s="1"/>
      <c r="J188" s="67">
        <v>250000</v>
      </c>
      <c r="K188" s="20">
        <v>1251985</v>
      </c>
      <c r="L188" s="21">
        <f t="shared" si="36"/>
        <v>1433531</v>
      </c>
      <c r="M188" s="22">
        <v>169180312</v>
      </c>
      <c r="N188" s="22">
        <f t="shared" si="38"/>
        <v>86500519.98384318</v>
      </c>
      <c r="O188" s="9">
        <f t="shared" si="37"/>
        <v>135129.66369405383</v>
      </c>
      <c r="P188" s="49">
        <f t="shared" si="39"/>
        <v>69090.69995554513</v>
      </c>
      <c r="BH188" s="58"/>
    </row>
    <row r="189" spans="1:60" ht="12.75">
      <c r="A189" s="1"/>
      <c r="J189" s="67">
        <v>500000</v>
      </c>
      <c r="K189" s="20">
        <v>127380</v>
      </c>
      <c r="L189" s="21">
        <f t="shared" si="36"/>
        <v>181546</v>
      </c>
      <c r="M189" s="22">
        <v>42641964</v>
      </c>
      <c r="N189" s="22">
        <f t="shared" si="38"/>
        <v>21802489.991461426</v>
      </c>
      <c r="O189" s="9">
        <f t="shared" si="37"/>
        <v>334761.8464437117</v>
      </c>
      <c r="P189" s="49">
        <f t="shared" si="39"/>
        <v>171161.014220925</v>
      </c>
      <c r="BH189" s="58"/>
    </row>
    <row r="190" spans="1:60" ht="12.75">
      <c r="A190" s="1"/>
      <c r="J190" s="67">
        <v>1000000</v>
      </c>
      <c r="K190" s="20">
        <v>36065</v>
      </c>
      <c r="L190" s="21">
        <f t="shared" si="36"/>
        <v>54166</v>
      </c>
      <c r="M190" s="22">
        <v>24267717</v>
      </c>
      <c r="N190" s="22">
        <f t="shared" si="38"/>
        <v>12407886.677267453</v>
      </c>
      <c r="O190" s="9">
        <f t="shared" si="37"/>
        <v>672888.3127686122</v>
      </c>
      <c r="P190" s="49">
        <f t="shared" si="39"/>
        <v>344042.3312704132</v>
      </c>
      <c r="BH190" s="58"/>
    </row>
    <row r="191" spans="1:60" ht="12.75">
      <c r="A191" s="1"/>
      <c r="J191" s="67">
        <v>2000000</v>
      </c>
      <c r="K191" s="20">
        <v>11178</v>
      </c>
      <c r="L191" s="21">
        <f t="shared" si="36"/>
        <v>18101</v>
      </c>
      <c r="M191" s="22">
        <v>15196257</v>
      </c>
      <c r="N191" s="22">
        <f t="shared" si="38"/>
        <v>7769722.828671204</v>
      </c>
      <c r="O191" s="9">
        <f t="shared" si="37"/>
        <v>1359479.0660225442</v>
      </c>
      <c r="P191" s="49">
        <f t="shared" si="39"/>
        <v>695090.6091135447</v>
      </c>
      <c r="BH191" s="58"/>
    </row>
    <row r="192" spans="1:60" ht="12.75">
      <c r="A192" s="1"/>
      <c r="J192" s="67">
        <v>5000000</v>
      </c>
      <c r="K192" s="20">
        <v>4869</v>
      </c>
      <c r="L192" s="21">
        <f>L193+K192</f>
        <v>6923</v>
      </c>
      <c r="M192" s="22">
        <v>14497506</v>
      </c>
      <c r="N192" s="22">
        <f t="shared" si="38"/>
        <v>7412457.115393464</v>
      </c>
      <c r="O192" s="9">
        <f t="shared" si="37"/>
        <v>2977512.014787431</v>
      </c>
      <c r="P192" s="49">
        <f t="shared" si="39"/>
        <v>1522377.7193250083</v>
      </c>
      <c r="BH192" s="58"/>
    </row>
    <row r="193" spans="1:60" ht="12.75">
      <c r="A193" s="1"/>
      <c r="J193" s="67">
        <v>10000000</v>
      </c>
      <c r="K193" s="20">
        <v>1159</v>
      </c>
      <c r="L193" s="24">
        <f>L194+K193</f>
        <v>2054</v>
      </c>
      <c r="M193" s="22">
        <v>7876068</v>
      </c>
      <c r="N193" s="22">
        <f t="shared" si="38"/>
        <v>4026969.6241493383</v>
      </c>
      <c r="O193" s="9">
        <f t="shared" si="37"/>
        <v>6795572.044866264</v>
      </c>
      <c r="P193" s="49">
        <f t="shared" si="39"/>
        <v>3474520.8146241056</v>
      </c>
      <c r="BH193" s="58"/>
    </row>
    <row r="194" spans="1:60" ht="12.75">
      <c r="A194" s="29"/>
      <c r="J194" s="29" t="s">
        <v>1</v>
      </c>
      <c r="K194" s="20">
        <v>895</v>
      </c>
      <c r="L194" s="24">
        <f>L195+K194</f>
        <v>895</v>
      </c>
      <c r="M194" s="22">
        <v>33916540</v>
      </c>
      <c r="N194" s="22">
        <f t="shared" si="38"/>
        <v>17341251.540266793</v>
      </c>
      <c r="O194" s="9">
        <f t="shared" si="37"/>
        <v>37895575.41899441</v>
      </c>
      <c r="P194" s="49">
        <f t="shared" si="39"/>
        <v>19375700.04499083</v>
      </c>
      <c r="BH194" s="58"/>
    </row>
    <row r="195" spans="1:60" ht="12.75">
      <c r="A195" s="30"/>
      <c r="J195" s="29" t="s">
        <v>2</v>
      </c>
      <c r="K195" s="20">
        <f>SUM(K185:K194)</f>
        <v>23978392</v>
      </c>
      <c r="L195" s="24"/>
      <c r="M195" s="22">
        <f>SUM(M185:M194)</f>
        <v>1135150115</v>
      </c>
      <c r="N195" s="22">
        <f>SUM(N185:N194)</f>
        <v>580393037.7384537</v>
      </c>
      <c r="O195" s="9">
        <f t="shared" si="37"/>
        <v>47340.543727869655</v>
      </c>
      <c r="P195" s="19"/>
      <c r="BH195" s="58"/>
    </row>
    <row r="196" spans="11:60" ht="12.75">
      <c r="K196" s="25"/>
      <c r="L196" s="9"/>
      <c r="M196" s="9"/>
      <c r="N196" s="6"/>
      <c r="O196" s="6"/>
      <c r="P196" s="19"/>
      <c r="BH196" s="58"/>
    </row>
    <row r="197" spans="11:60" ht="12.75">
      <c r="K197" s="20">
        <v>1000</v>
      </c>
      <c r="L197" s="24"/>
      <c r="M197" s="32">
        <f>M194+M193/K193*(K193-L193+1000)</f>
        <v>34630075.06471096</v>
      </c>
      <c r="N197" s="22">
        <f>M197/1.95583</f>
        <v>17706076.225802325</v>
      </c>
      <c r="O197" s="24">
        <f>M197*1000/K197</f>
        <v>34630075.06471096</v>
      </c>
      <c r="P197" s="49">
        <f>O197/1.95583</f>
        <v>17706076.225802325</v>
      </c>
      <c r="BH197" s="58"/>
    </row>
    <row r="198" spans="11:60" ht="12.75">
      <c r="K198" s="20">
        <v>10000</v>
      </c>
      <c r="L198" s="24"/>
      <c r="M198" s="24">
        <f>SUM(M$192:M$194)+M$191/K$191*(K$191-L$191+11000)-M$197</f>
        <v>27202635.087462954</v>
      </c>
      <c r="N198" s="22">
        <f>M198/1.95583</f>
        <v>13908486.467363194</v>
      </c>
      <c r="O198" s="24">
        <f>M198*1000/K198</f>
        <v>2720263.5087462957</v>
      </c>
      <c r="P198" s="49">
        <f>O198/1.95583</f>
        <v>1390848.6467363194</v>
      </c>
      <c r="BH198" s="58"/>
    </row>
    <row r="199" spans="11:60" ht="12.75">
      <c r="K199" s="20">
        <v>100000</v>
      </c>
      <c r="L199" s="24"/>
      <c r="M199" s="24">
        <f>SUM(M$190:M$194)+M$189/K$189*(K$189-L$189+111000)-M$197-M$198</f>
        <v>52947232.628607996</v>
      </c>
      <c r="N199" s="22">
        <f>M199/1.95583</f>
        <v>27071490.174814783</v>
      </c>
      <c r="O199" s="24">
        <f>M199*1000/K199</f>
        <v>529472.32628608</v>
      </c>
      <c r="P199" s="49">
        <f>O199/1.95583</f>
        <v>270714.90174814785</v>
      </c>
      <c r="BH199" s="58"/>
    </row>
    <row r="200" spans="11:60" ht="12.75">
      <c r="K200" s="20">
        <v>1000000</v>
      </c>
      <c r="L200" s="24"/>
      <c r="M200" s="24">
        <f>SUM(M$189:M$194)+M$188/K$188*(K$188-L$188+1111000)-M$197-M$198-M$199</f>
        <v>149212915.6583112</v>
      </c>
      <c r="N200" s="22">
        <f>M200/1.95583</f>
        <v>76291352.34571062</v>
      </c>
      <c r="O200" s="24">
        <f>M200*1000/K200</f>
        <v>149212.9156583112</v>
      </c>
      <c r="P200" s="49">
        <f>O200/1.95583</f>
        <v>76291.35234571062</v>
      </c>
      <c r="BH200" s="58"/>
    </row>
    <row r="201" spans="11:60" ht="12.75">
      <c r="K201" s="26">
        <f>K195-SUM(K197:K200)</f>
        <v>22867392</v>
      </c>
      <c r="L201" s="46">
        <f>K201/K195</f>
        <v>0.953666617844933</v>
      </c>
      <c r="M201" s="27">
        <f>M195-SUM(M197:M200)</f>
        <v>871157256.5609069</v>
      </c>
      <c r="N201" s="66">
        <f>M201/1.95583</f>
        <v>445415632.52476287</v>
      </c>
      <c r="O201" s="27">
        <f>M201*1000/K201</f>
        <v>38096.047706747966</v>
      </c>
      <c r="P201" s="50">
        <f>O201/1.95583</f>
        <v>19478.199898124054</v>
      </c>
      <c r="BH201" s="58"/>
    </row>
    <row r="202" ht="12.75">
      <c r="BG202" s="58"/>
    </row>
    <row r="203" spans="1:60" ht="12.75">
      <c r="A203" s="29"/>
      <c r="K203" s="29" t="s">
        <v>45</v>
      </c>
      <c r="L203" s="65">
        <v>1992</v>
      </c>
      <c r="M203" s="31" t="s">
        <v>23</v>
      </c>
      <c r="N203" s="15"/>
      <c r="O203" s="15"/>
      <c r="P203" s="15"/>
      <c r="Q203" s="16"/>
      <c r="BH203" s="58"/>
    </row>
    <row r="204" spans="11:60" ht="12.75">
      <c r="K204" s="29" t="s">
        <v>0</v>
      </c>
      <c r="L204" s="17" t="s">
        <v>4</v>
      </c>
      <c r="M204" s="6"/>
      <c r="N204" s="18" t="s">
        <v>5</v>
      </c>
      <c r="O204" s="18" t="s">
        <v>46</v>
      </c>
      <c r="P204" s="6" t="s">
        <v>3</v>
      </c>
      <c r="Q204" s="19" t="s">
        <v>47</v>
      </c>
      <c r="BH204" s="58"/>
    </row>
    <row r="205" spans="1:60" ht="12.75">
      <c r="A205" s="1"/>
      <c r="K205" s="67">
        <v>1</v>
      </c>
      <c r="L205" s="20">
        <v>1922533</v>
      </c>
      <c r="M205" s="21">
        <f aca="true" t="shared" si="40" ref="M205:M211">M206+L205</f>
        <v>29478827</v>
      </c>
      <c r="N205" s="22">
        <v>-9835099</v>
      </c>
      <c r="O205" s="22">
        <f aca="true" t="shared" si="41" ref="O205:O214">N205/1.95583</f>
        <v>-5028606.269461047</v>
      </c>
      <c r="P205" s="9">
        <f aca="true" t="shared" si="42" ref="P205:P215">N205*1000/L205</f>
        <v>-5115.698404136626</v>
      </c>
      <c r="Q205" s="49">
        <f aca="true" t="shared" si="43" ref="Q205:Q214">P205/1.95583</f>
        <v>-2615.615060683508</v>
      </c>
      <c r="BH205" s="58"/>
    </row>
    <row r="206" spans="1:60" ht="12.75">
      <c r="A206" s="1"/>
      <c r="K206" s="67">
        <v>25000</v>
      </c>
      <c r="L206" s="20">
        <f>1318436+1440809+1502930+1300745+1383068</f>
        <v>6945988</v>
      </c>
      <c r="M206" s="21">
        <f t="shared" si="40"/>
        <v>27556294</v>
      </c>
      <c r="N206" s="22">
        <f>3389981+10959206+18650107+22728228+31172162</f>
        <v>86899684</v>
      </c>
      <c r="O206" s="22">
        <f t="shared" si="41"/>
        <v>44431102.90771693</v>
      </c>
      <c r="P206" s="9">
        <f t="shared" si="42"/>
        <v>12510.773701307862</v>
      </c>
      <c r="Q206" s="49">
        <f t="shared" si="43"/>
        <v>6396.657020961874</v>
      </c>
      <c r="BH206" s="58"/>
    </row>
    <row r="207" spans="1:60" ht="12.75">
      <c r="A207" s="1"/>
      <c r="K207" s="67">
        <v>100000</v>
      </c>
      <c r="L207" s="20">
        <f>1517871+3510598+3783157+2994803+3108336+2969561</f>
        <v>17884326</v>
      </c>
      <c r="M207" s="21">
        <f t="shared" si="40"/>
        <v>20610306</v>
      </c>
      <c r="N207" s="22">
        <f>41774454+123449847+169979139+163873212+208282816+254971358</f>
        <v>962330826</v>
      </c>
      <c r="O207" s="22">
        <f t="shared" si="41"/>
        <v>492031938.3586508</v>
      </c>
      <c r="P207" s="9">
        <f t="shared" si="42"/>
        <v>53808.61576779578</v>
      </c>
      <c r="Q207" s="49">
        <f t="shared" si="43"/>
        <v>27511.90838048081</v>
      </c>
      <c r="BH207" s="58"/>
    </row>
    <row r="208" spans="1:60" ht="12.75">
      <c r="A208" s="1"/>
      <c r="K208" s="67">
        <v>250000</v>
      </c>
      <c r="L208" s="20">
        <v>2439429</v>
      </c>
      <c r="M208" s="21">
        <f t="shared" si="40"/>
        <v>2725980</v>
      </c>
      <c r="N208" s="22">
        <v>328453469</v>
      </c>
      <c r="O208" s="22">
        <f t="shared" si="41"/>
        <v>167935592.05043384</v>
      </c>
      <c r="P208" s="9">
        <f t="shared" si="42"/>
        <v>134643.5862654744</v>
      </c>
      <c r="Q208" s="49">
        <f t="shared" si="43"/>
        <v>68842.17251267974</v>
      </c>
      <c r="BH208" s="58"/>
    </row>
    <row r="209" spans="1:60" ht="12.75">
      <c r="A209" s="1"/>
      <c r="K209" s="67">
        <v>500000</v>
      </c>
      <c r="L209" s="20">
        <v>206609</v>
      </c>
      <c r="M209" s="21">
        <f t="shared" si="40"/>
        <v>286551</v>
      </c>
      <c r="N209" s="22">
        <v>68846572</v>
      </c>
      <c r="O209" s="22">
        <f t="shared" si="41"/>
        <v>35200693.311790906</v>
      </c>
      <c r="P209" s="9">
        <f t="shared" si="42"/>
        <v>333221.5537561287</v>
      </c>
      <c r="Q209" s="49">
        <f t="shared" si="43"/>
        <v>170373.4750750979</v>
      </c>
      <c r="BH209" s="58"/>
    </row>
    <row r="210" spans="1:60" ht="12.75">
      <c r="A210" s="1"/>
      <c r="K210" s="67">
        <v>1000000</v>
      </c>
      <c r="L210" s="20">
        <v>54677</v>
      </c>
      <c r="M210" s="21">
        <f t="shared" si="40"/>
        <v>79942</v>
      </c>
      <c r="N210" s="22">
        <v>36686928</v>
      </c>
      <c r="O210" s="22">
        <f t="shared" si="41"/>
        <v>18757728.432430223</v>
      </c>
      <c r="P210" s="9">
        <f t="shared" si="42"/>
        <v>670975.5107266309</v>
      </c>
      <c r="Q210" s="49">
        <f t="shared" si="43"/>
        <v>343064.3311160126</v>
      </c>
      <c r="BH210" s="58"/>
    </row>
    <row r="211" spans="1:60" ht="12.75">
      <c r="A211" s="1"/>
      <c r="K211" s="67">
        <v>2000000</v>
      </c>
      <c r="L211" s="20">
        <v>16398</v>
      </c>
      <c r="M211" s="21">
        <f t="shared" si="40"/>
        <v>25265</v>
      </c>
      <c r="N211" s="22">
        <v>22120370</v>
      </c>
      <c r="O211" s="22">
        <f t="shared" si="41"/>
        <v>11309965.590056395</v>
      </c>
      <c r="P211" s="9">
        <f t="shared" si="42"/>
        <v>1348967.5570191487</v>
      </c>
      <c r="Q211" s="49">
        <f t="shared" si="43"/>
        <v>689716.1599009876</v>
      </c>
      <c r="BH211" s="58"/>
    </row>
    <row r="212" spans="1:60" ht="12.75">
      <c r="A212" s="1"/>
      <c r="K212" s="67">
        <v>5000000</v>
      </c>
      <c r="L212" s="20">
        <v>6592</v>
      </c>
      <c r="M212" s="21">
        <f>M213+L212</f>
        <v>8867</v>
      </c>
      <c r="N212" s="22">
        <v>19511453</v>
      </c>
      <c r="O212" s="22">
        <f t="shared" si="41"/>
        <v>9976047.509241601</v>
      </c>
      <c r="P212" s="9">
        <f t="shared" si="42"/>
        <v>2959868.4769417476</v>
      </c>
      <c r="Q212" s="49">
        <f t="shared" si="43"/>
        <v>1513356.7216689321</v>
      </c>
      <c r="BH212" s="58"/>
    </row>
    <row r="213" spans="1:60" ht="12.75">
      <c r="A213" s="1"/>
      <c r="K213" s="67">
        <v>10000000</v>
      </c>
      <c r="L213" s="20">
        <v>1524</v>
      </c>
      <c r="M213" s="24">
        <f>M214+L213</f>
        <v>2275</v>
      </c>
      <c r="N213" s="22">
        <v>10390565</v>
      </c>
      <c r="O213" s="22">
        <f t="shared" si="41"/>
        <v>5312611.525541586</v>
      </c>
      <c r="P213" s="9">
        <f t="shared" si="42"/>
        <v>6817956.036745407</v>
      </c>
      <c r="Q213" s="49">
        <f t="shared" si="43"/>
        <v>3485965.5679406733</v>
      </c>
      <c r="BH213" s="58"/>
    </row>
    <row r="214" spans="1:60" ht="12.75">
      <c r="A214" s="29"/>
      <c r="K214" s="29" t="s">
        <v>1</v>
      </c>
      <c r="L214" s="20">
        <v>751</v>
      </c>
      <c r="M214" s="24">
        <f>M215+L214</f>
        <v>751</v>
      </c>
      <c r="N214" s="22">
        <v>14996606</v>
      </c>
      <c r="O214" s="22">
        <f t="shared" si="41"/>
        <v>7667642.893298497</v>
      </c>
      <c r="P214" s="9">
        <f t="shared" si="42"/>
        <v>19968849.53395473</v>
      </c>
      <c r="Q214" s="49">
        <f t="shared" si="43"/>
        <v>10209910.643539945</v>
      </c>
      <c r="BH214" s="58"/>
    </row>
    <row r="215" spans="1:60" ht="12.75">
      <c r="A215" s="30"/>
      <c r="K215" s="29" t="s">
        <v>2</v>
      </c>
      <c r="L215" s="20">
        <f>SUM(L205:L214)</f>
        <v>29478827</v>
      </c>
      <c r="M215" s="24"/>
      <c r="N215" s="22">
        <f>SUM(N205:N214)</f>
        <v>1540401374</v>
      </c>
      <c r="O215" s="22">
        <f>SUM(O205:O214)</f>
        <v>787594716.3096998</v>
      </c>
      <c r="P215" s="9">
        <f t="shared" si="42"/>
        <v>52254.50028930934</v>
      </c>
      <c r="Q215" s="19"/>
      <c r="BH215" s="58"/>
    </row>
    <row r="216" spans="12:60" ht="12.75">
      <c r="L216" s="25"/>
      <c r="M216" s="9"/>
      <c r="N216" s="9"/>
      <c r="O216" s="6"/>
      <c r="P216" s="6"/>
      <c r="Q216" s="19"/>
      <c r="BH216" s="58"/>
    </row>
    <row r="217" spans="12:60" ht="12.75">
      <c r="L217" s="20">
        <v>1000</v>
      </c>
      <c r="M217" s="24"/>
      <c r="N217" s="32">
        <f>N214+N213/L213*(L213-M213+1000)</f>
        <v>16694277.053149607</v>
      </c>
      <c r="O217" s="22">
        <f>N217/1.95583</f>
        <v>8535648.319715725</v>
      </c>
      <c r="P217" s="24">
        <f>N217*1000/L217</f>
        <v>16694277.053149607</v>
      </c>
      <c r="Q217" s="49">
        <f>P217/1.95583</f>
        <v>8535648.319715725</v>
      </c>
      <c r="BH217" s="58"/>
    </row>
    <row r="218" spans="12:60" ht="12.75">
      <c r="L218" s="20">
        <v>10000</v>
      </c>
      <c r="M218" s="24"/>
      <c r="N218" s="24">
        <f>SUM(N$212:N$214)+N$211/L$211*(L$211-M$211+11000)-N$217</f>
        <v>31081694.745972235</v>
      </c>
      <c r="O218" s="22">
        <f>N218/1.95583</f>
        <v>15891818.177434765</v>
      </c>
      <c r="P218" s="24">
        <f>N218*1000/L218</f>
        <v>3108169.4745972236</v>
      </c>
      <c r="Q218" s="49">
        <f>P218/1.95583</f>
        <v>1589181.8177434765</v>
      </c>
      <c r="BH218" s="58"/>
    </row>
    <row r="219" spans="12:60" ht="12.75">
      <c r="L219" s="20">
        <v>100000</v>
      </c>
      <c r="M219" s="24"/>
      <c r="N219" s="24">
        <f>SUM(N$210:N$214)+N$209/L$209*(L$209-M$209+111000)-N$217-N$218</f>
        <v>66279145.217436</v>
      </c>
      <c r="O219" s="22">
        <f>N219/1.95583</f>
        <v>33887988.8423002</v>
      </c>
      <c r="P219" s="24">
        <f>N219*1000/L219</f>
        <v>662791.4521743599</v>
      </c>
      <c r="Q219" s="49">
        <f>P219/1.95583</f>
        <v>338879.888423002</v>
      </c>
      <c r="BH219" s="58"/>
    </row>
    <row r="220" spans="12:60" ht="12.75">
      <c r="L220" s="20">
        <v>1000000</v>
      </c>
      <c r="M220" s="24"/>
      <c r="N220" s="24">
        <f>SUM(N$209:N$214)+N$208/L$208*(L$208-M$208+1111000)-N$217-N$218-N$219</f>
        <v>169504147.03642625</v>
      </c>
      <c r="O220" s="22">
        <f>N220/1.95583</f>
        <v>86666094.2088148</v>
      </c>
      <c r="P220" s="24">
        <f>N220*1000/L220</f>
        <v>169504.14703642623</v>
      </c>
      <c r="Q220" s="49">
        <f>P220/1.95583</f>
        <v>86666.0942088148</v>
      </c>
      <c r="BH220" s="58"/>
    </row>
    <row r="221" spans="12:60" ht="12.75">
      <c r="L221" s="26">
        <f>L215-SUM(L217:L220)</f>
        <v>28367827</v>
      </c>
      <c r="M221" s="46">
        <f>L221/L215</f>
        <v>0.962311933239406</v>
      </c>
      <c r="N221" s="27">
        <f>N215-SUM(N217:N220)</f>
        <v>1256842109.9470158</v>
      </c>
      <c r="O221" s="66">
        <f>N221/1.95583</f>
        <v>642613166.7614342</v>
      </c>
      <c r="P221" s="27">
        <f>N221*1000/L221</f>
        <v>44305.19510525131</v>
      </c>
      <c r="Q221" s="50">
        <f>P221/1.95583</f>
        <v>22652.886552129436</v>
      </c>
      <c r="BH221" s="58"/>
    </row>
    <row r="222" ht="12.75">
      <c r="BG222" s="58"/>
    </row>
    <row r="223" spans="1:60" ht="12.75">
      <c r="A223" s="29"/>
      <c r="L223" s="29" t="s">
        <v>45</v>
      </c>
      <c r="M223" s="65">
        <v>1995</v>
      </c>
      <c r="N223" s="31" t="s">
        <v>24</v>
      </c>
      <c r="O223" s="15"/>
      <c r="P223" s="15"/>
      <c r="Q223" s="15"/>
      <c r="R223" s="16"/>
      <c r="BH223" s="58"/>
    </row>
    <row r="224" spans="12:60" ht="12.75">
      <c r="L224" s="29" t="s">
        <v>0</v>
      </c>
      <c r="M224" s="17" t="s">
        <v>4</v>
      </c>
      <c r="N224" s="6"/>
      <c r="O224" s="18" t="s">
        <v>5</v>
      </c>
      <c r="P224" s="18" t="s">
        <v>46</v>
      </c>
      <c r="Q224" s="6" t="s">
        <v>3</v>
      </c>
      <c r="R224" s="19" t="s">
        <v>47</v>
      </c>
      <c r="BH224" s="58"/>
    </row>
    <row r="225" spans="1:60" ht="12.75">
      <c r="A225" s="1"/>
      <c r="L225" s="67">
        <v>1</v>
      </c>
      <c r="M225" s="20">
        <v>2069210</v>
      </c>
      <c r="N225" s="21">
        <f aca="true" t="shared" si="44" ref="N225:N231">N226+M225</f>
        <v>29752289</v>
      </c>
      <c r="O225" s="22">
        <v>-14948000</v>
      </c>
      <c r="P225" s="22">
        <f>O225/1.95583</f>
        <v>-7642791.040121074</v>
      </c>
      <c r="Q225" s="9">
        <f aca="true" t="shared" si="45" ref="Q225:Q234">O225*1000/M225</f>
        <v>-7224.013029127058</v>
      </c>
      <c r="R225" s="49">
        <f>Q225/1.95583</f>
        <v>-3693.579211448366</v>
      </c>
      <c r="BH225" s="58"/>
    </row>
    <row r="226" spans="1:60" ht="12.75">
      <c r="A226" s="1"/>
      <c r="L226" s="67">
        <v>25000</v>
      </c>
      <c r="M226" s="20">
        <f>1145008+1274868+1489169+1309984+1227877</f>
        <v>6446906</v>
      </c>
      <c r="N226" s="21">
        <f t="shared" si="44"/>
        <v>27683079</v>
      </c>
      <c r="O226" s="22">
        <f>(2954+9680+18586+22810+27624)*1000</f>
        <v>81654000</v>
      </c>
      <c r="P226" s="22">
        <f aca="true" t="shared" si="46" ref="P226:R234">O226/1.95583</f>
        <v>41749027.26719602</v>
      </c>
      <c r="Q226" s="9">
        <f t="shared" si="45"/>
        <v>12665.61044941558</v>
      </c>
      <c r="R226" s="49">
        <f t="shared" si="46"/>
        <v>6475.823793180175</v>
      </c>
      <c r="BH226" s="58"/>
    </row>
    <row r="227" spans="1:60" ht="12.75">
      <c r="A227" s="1"/>
      <c r="L227" s="67">
        <v>100000</v>
      </c>
      <c r="M227" s="20">
        <f>1333681+3136635+3619401+3105688+3252768+3383398</f>
        <v>17831571</v>
      </c>
      <c r="N227" s="21">
        <f t="shared" si="44"/>
        <v>21236173</v>
      </c>
      <c r="O227" s="22">
        <f>(36714+110401+162869+170061+217927+291369)*1000</f>
        <v>989341000</v>
      </c>
      <c r="P227" s="22">
        <f t="shared" si="46"/>
        <v>505842021.034548</v>
      </c>
      <c r="Q227" s="9">
        <f t="shared" si="45"/>
        <v>55482.548340805195</v>
      </c>
      <c r="R227" s="49">
        <f t="shared" si="46"/>
        <v>28367.77651473042</v>
      </c>
      <c r="BH227" s="58"/>
    </row>
    <row r="228" spans="1:60" ht="12.75">
      <c r="A228" s="1"/>
      <c r="L228" s="67">
        <v>250000</v>
      </c>
      <c r="M228" s="20">
        <v>3126897</v>
      </c>
      <c r="N228" s="21">
        <f t="shared" si="44"/>
        <v>3404602</v>
      </c>
      <c r="O228" s="22">
        <v>420419000</v>
      </c>
      <c r="P228" s="22">
        <f t="shared" si="46"/>
        <v>214956821.40063298</v>
      </c>
      <c r="Q228" s="9">
        <f t="shared" si="45"/>
        <v>134452.4619774812</v>
      </c>
      <c r="R228" s="49">
        <f t="shared" si="46"/>
        <v>68744.4522159294</v>
      </c>
      <c r="BH228" s="58"/>
    </row>
    <row r="229" spans="1:60" ht="12.75">
      <c r="A229" s="1"/>
      <c r="L229" s="67">
        <v>500000</v>
      </c>
      <c r="M229" s="20">
        <v>207672</v>
      </c>
      <c r="N229" s="21">
        <f t="shared" si="44"/>
        <v>277705</v>
      </c>
      <c r="O229" s="22">
        <v>68629000</v>
      </c>
      <c r="P229" s="22">
        <f t="shared" si="46"/>
        <v>35089450.51461528</v>
      </c>
      <c r="Q229" s="9">
        <f t="shared" si="45"/>
        <v>330468.23837590043</v>
      </c>
      <c r="R229" s="49">
        <f t="shared" si="46"/>
        <v>168965.7272748145</v>
      </c>
      <c r="BH229" s="58"/>
    </row>
    <row r="230" spans="1:60" ht="12.75">
      <c r="A230" s="1"/>
      <c r="L230" s="67">
        <v>1000000</v>
      </c>
      <c r="M230" s="20">
        <v>49031</v>
      </c>
      <c r="N230" s="21">
        <f t="shared" si="44"/>
        <v>70033</v>
      </c>
      <c r="O230" s="22">
        <v>32752000</v>
      </c>
      <c r="P230" s="22">
        <f t="shared" si="46"/>
        <v>16745831.692938548</v>
      </c>
      <c r="Q230" s="9">
        <f t="shared" si="45"/>
        <v>667985.5601558198</v>
      </c>
      <c r="R230" s="49">
        <f t="shared" si="46"/>
        <v>341535.59366397886</v>
      </c>
      <c r="BH230" s="58"/>
    </row>
    <row r="231" spans="1:60" ht="12.75">
      <c r="A231" s="1"/>
      <c r="L231" s="67">
        <v>2000000</v>
      </c>
      <c r="M231" s="20">
        <v>13820</v>
      </c>
      <c r="N231" s="21">
        <f t="shared" si="44"/>
        <v>21002</v>
      </c>
      <c r="O231" s="22">
        <v>18659000</v>
      </c>
      <c r="P231" s="22">
        <f t="shared" si="46"/>
        <v>9540195.211240241</v>
      </c>
      <c r="Q231" s="9">
        <f t="shared" si="45"/>
        <v>1350144.7178002894</v>
      </c>
      <c r="R231" s="49">
        <f t="shared" si="46"/>
        <v>690318.0326512475</v>
      </c>
      <c r="BH231" s="58"/>
    </row>
    <row r="232" spans="1:60" ht="12.75">
      <c r="A232" s="1"/>
      <c r="L232" s="67">
        <v>5000000</v>
      </c>
      <c r="M232" s="20">
        <v>5249</v>
      </c>
      <c r="N232" s="21">
        <f>N233+M232</f>
        <v>7182</v>
      </c>
      <c r="O232" s="22">
        <v>15461000</v>
      </c>
      <c r="P232" s="22">
        <f t="shared" si="46"/>
        <v>7905083.775174734</v>
      </c>
      <c r="Q232" s="9">
        <f t="shared" si="45"/>
        <v>2945513.431129739</v>
      </c>
      <c r="R232" s="49">
        <f t="shared" si="46"/>
        <v>1506017.1032910524</v>
      </c>
      <c r="BH232" s="58"/>
    </row>
    <row r="233" spans="1:60" ht="12.75">
      <c r="A233" s="1"/>
      <c r="L233" s="67">
        <v>10000000</v>
      </c>
      <c r="M233" s="20">
        <v>1247</v>
      </c>
      <c r="N233" s="24">
        <f>N234+M233</f>
        <v>1933</v>
      </c>
      <c r="O233" s="22">
        <v>8458000</v>
      </c>
      <c r="P233" s="22">
        <f t="shared" si="46"/>
        <v>4324506.731157616</v>
      </c>
      <c r="Q233" s="9">
        <f t="shared" si="45"/>
        <v>6782678.428227747</v>
      </c>
      <c r="R233" s="49">
        <f t="shared" si="46"/>
        <v>3467928.413117575</v>
      </c>
      <c r="BH233" s="58"/>
    </row>
    <row r="234" spans="1:60" ht="12.75">
      <c r="A234" s="29"/>
      <c r="L234" s="29" t="s">
        <v>1</v>
      </c>
      <c r="M234" s="20">
        <v>686</v>
      </c>
      <c r="N234" s="24">
        <f>N235+M234</f>
        <v>686</v>
      </c>
      <c r="O234" s="22">
        <v>14801000</v>
      </c>
      <c r="P234" s="22">
        <f t="shared" si="46"/>
        <v>7567631.1335852295</v>
      </c>
      <c r="Q234" s="9">
        <f t="shared" si="45"/>
        <v>21575801.749271136</v>
      </c>
      <c r="R234" s="49">
        <f t="shared" si="46"/>
        <v>11031532.2647015</v>
      </c>
      <c r="BH234" s="58"/>
    </row>
    <row r="235" spans="1:60" ht="12.75">
      <c r="A235" s="30"/>
      <c r="L235" s="29" t="s">
        <v>2</v>
      </c>
      <c r="M235" s="20">
        <f>SUM(M225:M234)</f>
        <v>29752289</v>
      </c>
      <c r="N235" s="24"/>
      <c r="O235" s="22">
        <f>SUM(O225:O234)</f>
        <v>1635226000</v>
      </c>
      <c r="P235" s="22">
        <f>SUM(P225:P234)</f>
        <v>836077777.7209677</v>
      </c>
      <c r="Q235" s="9"/>
      <c r="R235" s="19"/>
      <c r="BH235" s="58"/>
    </row>
    <row r="236" spans="13:60" ht="12.75">
      <c r="M236" s="17"/>
      <c r="N236" s="6"/>
      <c r="O236" s="6"/>
      <c r="P236" s="6"/>
      <c r="Q236" s="6"/>
      <c r="R236" s="19"/>
      <c r="BH236" s="58"/>
    </row>
    <row r="237" spans="13:60" ht="12.75">
      <c r="M237" s="20">
        <v>1000</v>
      </c>
      <c r="N237" s="24"/>
      <c r="O237" s="32">
        <f>O234+O233/M233*(M233-N233+1000)</f>
        <v>16930761.026463512</v>
      </c>
      <c r="P237" s="22">
        <f>O237/1.95583</f>
        <v>8656560.655304149</v>
      </c>
      <c r="Q237" s="24">
        <f>O237*1000/M237</f>
        <v>16930761.026463512</v>
      </c>
      <c r="R237" s="49">
        <f>Q237/1.95583</f>
        <v>8656560.655304149</v>
      </c>
      <c r="BH237" s="58"/>
    </row>
    <row r="238" spans="13:60" ht="12.75">
      <c r="M238" s="20">
        <v>10000</v>
      </c>
      <c r="N238" s="24"/>
      <c r="O238" s="24">
        <f>SUM(O$232:O$234)+O$231/M$231*(M$231-N$231+11000)-O$237</f>
        <v>26944091.50609799</v>
      </c>
      <c r="P238" s="22">
        <f>O238/1.95583</f>
        <v>13776295.233275894</v>
      </c>
      <c r="Q238" s="24">
        <f>O238*1000/M238</f>
        <v>2694409.150609799</v>
      </c>
      <c r="R238" s="49">
        <f>Q238/1.95583</f>
        <v>1377629.5233275895</v>
      </c>
      <c r="BH238" s="58"/>
    </row>
    <row r="239" spans="13:60" ht="12.75">
      <c r="M239" s="20">
        <v>100000</v>
      </c>
      <c r="N239" s="24"/>
      <c r="O239" s="24">
        <f>SUM(O$230:O$234)+O$229/M$229*(M$229-N$229+111000)-O$237-O$238</f>
        <v>59794439.788984016</v>
      </c>
      <c r="P239" s="22">
        <f>O239/1.95583</f>
        <v>30572411.604783654</v>
      </c>
      <c r="Q239" s="24">
        <f>O239*1000/M239</f>
        <v>597944.3978898402</v>
      </c>
      <c r="R239" s="49">
        <f>Q239/1.95583</f>
        <v>305724.11604783655</v>
      </c>
      <c r="BH239" s="58"/>
    </row>
    <row r="240" spans="13:60" ht="12.75">
      <c r="M240" s="20">
        <v>1000000</v>
      </c>
      <c r="N240" s="24"/>
      <c r="O240" s="24">
        <f>SUM(O$229:O$234)+O$228/M$228*(M$228-N$228+1111000)-O$237-O$238-O$239</f>
        <v>167129271.98197967</v>
      </c>
      <c r="P240" s="22">
        <f>O240/1.95583</f>
        <v>85451839.87462084</v>
      </c>
      <c r="Q240" s="24">
        <f>O240*1000/M240</f>
        <v>167129.27198197966</v>
      </c>
      <c r="R240" s="49">
        <f>Q240/1.95583</f>
        <v>85451.83987462084</v>
      </c>
      <c r="BH240" s="58"/>
    </row>
    <row r="241" spans="13:60" ht="12.75">
      <c r="M241" s="26">
        <f>M235-SUM(M237:M240)</f>
        <v>28641289</v>
      </c>
      <c r="N241" s="46">
        <f>M241/M235</f>
        <v>0.9626583352964876</v>
      </c>
      <c r="O241" s="27">
        <f>O235-SUM(O237:O240)</f>
        <v>1364427435.6964748</v>
      </c>
      <c r="P241" s="66">
        <f>O241/1.95583</f>
        <v>697620670.352983</v>
      </c>
      <c r="Q241" s="27">
        <f>O241*1000/M241</f>
        <v>47638.478690553166</v>
      </c>
      <c r="R241" s="50">
        <f>Q241/1.95583</f>
        <v>24357.167387018897</v>
      </c>
      <c r="BH241" s="58"/>
    </row>
    <row r="242" ht="12.75">
      <c r="BG242" s="58"/>
    </row>
    <row r="243" spans="13:60" ht="12.75">
      <c r="M243" s="29" t="s">
        <v>56</v>
      </c>
      <c r="N243" s="65">
        <v>1998</v>
      </c>
      <c r="O243" s="31" t="s">
        <v>24</v>
      </c>
      <c r="P243" s="15"/>
      <c r="Q243" s="15"/>
      <c r="R243" s="15"/>
      <c r="S243" s="16"/>
      <c r="T243" s="6"/>
      <c r="BH243" s="58"/>
    </row>
    <row r="244" spans="13:60" ht="12.75">
      <c r="M244" s="29" t="s">
        <v>0</v>
      </c>
      <c r="N244" s="17" t="s">
        <v>4</v>
      </c>
      <c r="O244" s="6"/>
      <c r="P244" s="18" t="s">
        <v>5</v>
      </c>
      <c r="Q244" s="18" t="s">
        <v>46</v>
      </c>
      <c r="R244" s="6" t="s">
        <v>3</v>
      </c>
      <c r="S244" s="19" t="s">
        <v>47</v>
      </c>
      <c r="T244" s="6"/>
      <c r="BH244" s="58"/>
    </row>
    <row r="245" spans="13:60" ht="12.75">
      <c r="M245" s="67">
        <v>1</v>
      </c>
      <c r="N245" s="20">
        <v>379527</v>
      </c>
      <c r="O245" s="21">
        <f aca="true" t="shared" si="47" ref="O245:O251">O246+N245</f>
        <v>28672914</v>
      </c>
      <c r="P245" s="22">
        <f aca="true" t="shared" si="48" ref="P245:P255">Q245*1.95583</f>
        <v>-26877015.86</v>
      </c>
      <c r="Q245" s="22">
        <v>-13742000</v>
      </c>
      <c r="R245" s="22">
        <f aca="true" t="shared" si="49" ref="R245:R254">S245*1.95583</f>
        <v>-70817.13780574242</v>
      </c>
      <c r="S245" s="23">
        <f aca="true" t="shared" si="50" ref="S245:S254">Q245*1000/N245</f>
        <v>-36208.22760962988</v>
      </c>
      <c r="T245" s="6"/>
      <c r="BH245" s="58"/>
    </row>
    <row r="246" spans="13:60" ht="12.75">
      <c r="M246" s="67">
        <v>12500</v>
      </c>
      <c r="N246" s="20">
        <f>2208865+1252510+1347198+1269133+1188922+1230344</f>
        <v>8496972</v>
      </c>
      <c r="O246" s="21">
        <f t="shared" si="47"/>
        <v>28293387</v>
      </c>
      <c r="P246" s="22">
        <f t="shared" si="48"/>
        <v>65829326.14</v>
      </c>
      <c r="Q246" s="22">
        <f>(-85+1919+4482+6753+8735+11854)*1000</f>
        <v>33658000</v>
      </c>
      <c r="R246" s="22">
        <f t="shared" si="49"/>
        <v>7747.38649721336</v>
      </c>
      <c r="S246" s="23">
        <f t="shared" si="50"/>
        <v>3961.1758165144006</v>
      </c>
      <c r="T246" s="6"/>
      <c r="BH246" s="58"/>
    </row>
    <row r="247" spans="13:60" ht="12.75">
      <c r="M247" s="67">
        <v>50000</v>
      </c>
      <c r="N247" s="20">
        <f>2730495+3192213+3028641+3246246+3421677</f>
        <v>15619272</v>
      </c>
      <c r="O247" s="21">
        <f t="shared" si="47"/>
        <v>19796415</v>
      </c>
      <c r="P247" s="22">
        <f t="shared" si="48"/>
        <v>736499079.78</v>
      </c>
      <c r="Q247" s="22">
        <f>(36197+56879+66971+90285+126234)*1000</f>
        <v>376566000</v>
      </c>
      <c r="R247" s="22">
        <f t="shared" si="49"/>
        <v>47153.22710174968</v>
      </c>
      <c r="S247" s="23">
        <f t="shared" si="50"/>
        <v>24109.06218932611</v>
      </c>
      <c r="T247" s="6"/>
      <c r="BH247" s="58"/>
    </row>
    <row r="248" spans="13:60" ht="12.75">
      <c r="M248" s="67">
        <v>125000</v>
      </c>
      <c r="N248" s="20">
        <f>2760560+755442+277533</f>
        <v>3793535</v>
      </c>
      <c r="O248" s="21">
        <f t="shared" si="47"/>
        <v>4177143</v>
      </c>
      <c r="P248" s="22">
        <f t="shared" si="48"/>
        <v>448645887.87</v>
      </c>
      <c r="Q248" s="22">
        <f>(144499+57307+27583)*1000</f>
        <v>229389000</v>
      </c>
      <c r="R248" s="22">
        <f t="shared" si="49"/>
        <v>118265.91500276128</v>
      </c>
      <c r="S248" s="23">
        <f t="shared" si="50"/>
        <v>60468.40216315389</v>
      </c>
      <c r="T248" s="6"/>
      <c r="BH248" s="58"/>
    </row>
    <row r="249" spans="13:60" ht="12.75">
      <c r="M249" s="67">
        <v>250000</v>
      </c>
      <c r="N249" s="20">
        <f>186460+92367</f>
        <v>278827</v>
      </c>
      <c r="O249" s="21">
        <f t="shared" si="47"/>
        <v>383608</v>
      </c>
      <c r="P249" s="22">
        <f t="shared" si="48"/>
        <v>82406941.22</v>
      </c>
      <c r="Q249" s="22">
        <f>24692000+17442000</f>
        <v>42134000</v>
      </c>
      <c r="R249" s="22">
        <f t="shared" si="49"/>
        <v>295548.6420612064</v>
      </c>
      <c r="S249" s="23">
        <f t="shared" si="50"/>
        <v>151111.62118446204</v>
      </c>
      <c r="T249" s="6"/>
      <c r="BH249" s="58"/>
    </row>
    <row r="250" spans="13:60" ht="12.75">
      <c r="M250" s="67">
        <v>500000</v>
      </c>
      <c r="N250" s="20">
        <f>50319+18997</f>
        <v>69316</v>
      </c>
      <c r="O250" s="21">
        <f t="shared" si="47"/>
        <v>104781</v>
      </c>
      <c r="P250" s="22">
        <f t="shared" si="48"/>
        <v>42058168.32</v>
      </c>
      <c r="Q250" s="22">
        <f>13952000+7552000</f>
        <v>21504000</v>
      </c>
      <c r="R250" s="22">
        <f t="shared" si="49"/>
        <v>606759.8868948006</v>
      </c>
      <c r="S250" s="23">
        <f t="shared" si="50"/>
        <v>310231.40400484734</v>
      </c>
      <c r="T250" s="6"/>
      <c r="BH250" s="58"/>
    </row>
    <row r="251" spans="13:60" ht="12.75">
      <c r="M251" s="67">
        <v>1000000</v>
      </c>
      <c r="N251" s="20">
        <v>21775</v>
      </c>
      <c r="O251" s="21">
        <f t="shared" si="47"/>
        <v>35465</v>
      </c>
      <c r="P251" s="22">
        <f t="shared" si="48"/>
        <v>26875060.03</v>
      </c>
      <c r="Q251" s="22">
        <v>13741000</v>
      </c>
      <c r="R251" s="22">
        <f t="shared" si="49"/>
        <v>1234216.3044776118</v>
      </c>
      <c r="S251" s="23">
        <f t="shared" si="50"/>
        <v>631044.776119403</v>
      </c>
      <c r="T251" s="6"/>
      <c r="BH251" s="58"/>
    </row>
    <row r="252" spans="13:60" ht="12.75">
      <c r="M252" s="67">
        <v>2500000</v>
      </c>
      <c r="N252" s="20">
        <v>9353</v>
      </c>
      <c r="O252" s="21">
        <f>O253+N252</f>
        <v>13690</v>
      </c>
      <c r="P252" s="22">
        <f t="shared" si="48"/>
        <v>25539228.14</v>
      </c>
      <c r="Q252" s="22">
        <v>13058000</v>
      </c>
      <c r="R252" s="22">
        <f t="shared" si="49"/>
        <v>2730592.1244520475</v>
      </c>
      <c r="S252" s="23">
        <f t="shared" si="50"/>
        <v>1396129.5840906661</v>
      </c>
      <c r="T252" s="6"/>
      <c r="BH252" s="58"/>
    </row>
    <row r="253" spans="13:60" ht="12.75">
      <c r="M253" s="67">
        <v>5000000</v>
      </c>
      <c r="N253" s="20">
        <v>2494</v>
      </c>
      <c r="O253" s="24">
        <f>O254+N253</f>
        <v>4337</v>
      </c>
      <c r="P253" s="22">
        <f t="shared" si="48"/>
        <v>15869604.62</v>
      </c>
      <c r="Q253" s="22">
        <v>8114000</v>
      </c>
      <c r="R253" s="22">
        <f t="shared" si="49"/>
        <v>6363113.319967923</v>
      </c>
      <c r="S253" s="23">
        <f t="shared" si="50"/>
        <v>3253408.1796311145</v>
      </c>
      <c r="T253" s="6"/>
      <c r="BH253" s="58"/>
    </row>
    <row r="254" spans="13:60" ht="12.75">
      <c r="M254" s="29" t="s">
        <v>1</v>
      </c>
      <c r="N254" s="20">
        <v>1843</v>
      </c>
      <c r="O254" s="24">
        <f>O255+N254</f>
        <v>1843</v>
      </c>
      <c r="P254" s="22">
        <f t="shared" si="48"/>
        <v>38150419.98</v>
      </c>
      <c r="Q254" s="22">
        <v>19506000</v>
      </c>
      <c r="R254" s="22">
        <f t="shared" si="49"/>
        <v>20700173.619099297</v>
      </c>
      <c r="S254" s="23">
        <f t="shared" si="50"/>
        <v>10583830.710797613</v>
      </c>
      <c r="T254" s="6"/>
      <c r="BH254" s="58"/>
    </row>
    <row r="255" spans="13:60" ht="12.75">
      <c r="M255" s="29" t="s">
        <v>2</v>
      </c>
      <c r="N255" s="20">
        <f>SUM(N245:N254)</f>
        <v>28672914</v>
      </c>
      <c r="O255" s="24"/>
      <c r="P255" s="22">
        <f t="shared" si="48"/>
        <v>1454996700.24</v>
      </c>
      <c r="Q255" s="22">
        <f>SUM(Q245:Q254)</f>
        <v>743928000</v>
      </c>
      <c r="R255" s="9"/>
      <c r="S255" s="23"/>
      <c r="T255" s="6"/>
      <c r="BH255" s="58"/>
    </row>
    <row r="256" spans="14:60" ht="12.75">
      <c r="N256" s="17"/>
      <c r="O256" s="6"/>
      <c r="P256" s="6"/>
      <c r="Q256" s="6"/>
      <c r="R256" s="6"/>
      <c r="S256" s="19"/>
      <c r="T256" s="6"/>
      <c r="BH256" s="58"/>
    </row>
    <row r="257" spans="14:60" ht="12.75">
      <c r="N257" s="20">
        <v>1000</v>
      </c>
      <c r="O257" s="24"/>
      <c r="P257" s="32"/>
      <c r="Q257" s="32">
        <f>Q254/N254*1000</f>
        <v>10583830.710797612</v>
      </c>
      <c r="R257" s="22"/>
      <c r="S257" s="33">
        <f>Q257*1000/N257</f>
        <v>10583830.710797612</v>
      </c>
      <c r="T257" s="6"/>
      <c r="BH257" s="58"/>
    </row>
    <row r="258" spans="14:60" ht="12.75">
      <c r="N258" s="20">
        <v>10000</v>
      </c>
      <c r="O258" s="24"/>
      <c r="P258" s="24"/>
      <c r="Q258" s="24">
        <f>SUM(Q$253:Q$254)+Q$252/N$252*(N$252-O$252+11000)-Q$257</f>
        <v>26338580.707998496</v>
      </c>
      <c r="R258" s="22"/>
      <c r="S258" s="33">
        <f>Q258*1000/N258</f>
        <v>2633858.07079985</v>
      </c>
      <c r="T258" s="6"/>
      <c r="BH258" s="58"/>
    </row>
    <row r="259" spans="14:60" ht="12.75">
      <c r="N259" s="20">
        <v>100000</v>
      </c>
      <c r="O259" s="24"/>
      <c r="P259" s="24"/>
      <c r="Q259" s="24">
        <f>SUM(Q$251:Q$254)+Q$250/N$250*(N$250-O$250+111000)-Q$257-Q$258</f>
        <v>40929917.68271004</v>
      </c>
      <c r="R259" s="22"/>
      <c r="S259" s="33">
        <f>Q259*1000/N259</f>
        <v>409299.1768271004</v>
      </c>
      <c r="T259" s="6"/>
      <c r="BH259" s="58"/>
    </row>
    <row r="260" spans="14:60" ht="12.75">
      <c r="N260" s="20">
        <v>1000000</v>
      </c>
      <c r="O260" s="24"/>
      <c r="P260" s="24"/>
      <c r="Q260" s="24">
        <f>SUM(Q$249:Q$254)+Q$248/N$248*(N$248-O$248+1111000)-Q$257-Q$258-Q$259</f>
        <v>84188902.88475469</v>
      </c>
      <c r="R260" s="22"/>
      <c r="S260" s="33">
        <f>Q260*1000/N260</f>
        <v>84188.90288475469</v>
      </c>
      <c r="T260" s="6"/>
      <c r="BH260" s="58"/>
    </row>
    <row r="261" spans="14:60" ht="12.75">
      <c r="N261" s="26">
        <f>N255-SUM(N257:N260)</f>
        <v>27561914</v>
      </c>
      <c r="O261" s="46">
        <f>N261/N255</f>
        <v>0.9612526302698079</v>
      </c>
      <c r="P261" s="27"/>
      <c r="Q261" s="27">
        <f>Q255-SUM(Q257:Q260)</f>
        <v>581886768.0137391</v>
      </c>
      <c r="R261" s="66"/>
      <c r="S261" s="34">
        <f>Q261*1000/N261</f>
        <v>21111.986925644538</v>
      </c>
      <c r="T261" s="6"/>
      <c r="BH261" s="58"/>
    </row>
    <row r="262" ht="12.75">
      <c r="BG262" s="58"/>
    </row>
    <row r="263" spans="14:59" ht="12.75">
      <c r="N263" s="29" t="s">
        <v>56</v>
      </c>
      <c r="O263" s="65">
        <v>2001</v>
      </c>
      <c r="P263" s="31" t="s">
        <v>57</v>
      </c>
      <c r="Q263" s="63" t="s">
        <v>49</v>
      </c>
      <c r="R263" s="15"/>
      <c r="S263" s="15"/>
      <c r="T263" s="16"/>
      <c r="BG263" s="58"/>
    </row>
    <row r="264" spans="14:60" ht="12.75">
      <c r="N264" s="29" t="s">
        <v>0</v>
      </c>
      <c r="O264" s="17" t="s">
        <v>4</v>
      </c>
      <c r="P264" s="6"/>
      <c r="Q264" s="18" t="s">
        <v>5</v>
      </c>
      <c r="R264" s="18" t="s">
        <v>46</v>
      </c>
      <c r="S264" s="6" t="s">
        <v>3</v>
      </c>
      <c r="T264" s="19" t="s">
        <v>47</v>
      </c>
      <c r="BH264" s="58"/>
    </row>
    <row r="265" spans="14:60" ht="12.75">
      <c r="N265" s="67">
        <v>1</v>
      </c>
      <c r="O265" s="64">
        <v>125812</v>
      </c>
      <c r="P265" s="21">
        <f aca="true" t="shared" si="51" ref="P265:P271">P266+O265</f>
        <v>27969265</v>
      </c>
      <c r="Q265" s="22">
        <f aca="true" t="shared" si="52" ref="Q265:Q275">R265*1.95583</f>
        <v>-2271610.48848</v>
      </c>
      <c r="R265" s="22">
        <v>-1161456</v>
      </c>
      <c r="S265" s="22">
        <f aca="true" t="shared" si="53" ref="S265:S274">T265*1.95583</f>
        <v>-18055.594764251422</v>
      </c>
      <c r="T265" s="23">
        <f aca="true" t="shared" si="54" ref="T265:T274">R265*1000/O265</f>
        <v>-9231.679013130703</v>
      </c>
      <c r="BH265" s="58"/>
    </row>
    <row r="266" spans="14:60" ht="12.75">
      <c r="N266" s="67">
        <v>12500</v>
      </c>
      <c r="O266" s="64">
        <v>6341108</v>
      </c>
      <c r="P266" s="21">
        <f t="shared" si="51"/>
        <v>27843453</v>
      </c>
      <c r="Q266" s="22">
        <f t="shared" si="52"/>
        <v>83066400.15608</v>
      </c>
      <c r="R266" s="22">
        <v>42471176</v>
      </c>
      <c r="S266" s="22">
        <f t="shared" si="53"/>
        <v>13099.666518229937</v>
      </c>
      <c r="T266" s="23">
        <f t="shared" si="54"/>
        <v>6697.753137148902</v>
      </c>
      <c r="BH266" s="58"/>
    </row>
    <row r="267" spans="14:60" ht="12.75">
      <c r="N267" s="67">
        <v>50000</v>
      </c>
      <c r="O267" s="64">
        <v>16471538</v>
      </c>
      <c r="P267" s="21">
        <f t="shared" si="51"/>
        <v>21502345</v>
      </c>
      <c r="Q267" s="22">
        <f t="shared" si="52"/>
        <v>949526522.62766</v>
      </c>
      <c r="R267" s="22">
        <v>485485202</v>
      </c>
      <c r="S267" s="22">
        <f t="shared" si="53"/>
        <v>57646.50044383591</v>
      </c>
      <c r="T267" s="23">
        <f t="shared" si="54"/>
        <v>29474.187656307506</v>
      </c>
      <c r="BH267" s="58"/>
    </row>
    <row r="268" spans="14:60" ht="12.75">
      <c r="N268" s="67">
        <v>125000</v>
      </c>
      <c r="O268" s="64">
        <v>4537416</v>
      </c>
      <c r="P268" s="21">
        <f t="shared" si="51"/>
        <v>5030807</v>
      </c>
      <c r="Q268" s="22">
        <f t="shared" si="52"/>
        <v>636446910.20454</v>
      </c>
      <c r="R268" s="22">
        <v>325410138</v>
      </c>
      <c r="S268" s="22">
        <f t="shared" si="53"/>
        <v>140266.3785301017</v>
      </c>
      <c r="T268" s="23">
        <f t="shared" si="54"/>
        <v>71717.06054723657</v>
      </c>
      <c r="BH268" s="58"/>
    </row>
    <row r="269" spans="14:60" ht="12.75">
      <c r="N269" s="67">
        <v>250000</v>
      </c>
      <c r="O269" s="64">
        <v>371914</v>
      </c>
      <c r="P269" s="21">
        <f t="shared" si="51"/>
        <v>493391</v>
      </c>
      <c r="Q269" s="22">
        <f t="shared" si="52"/>
        <v>127535128.95108</v>
      </c>
      <c r="R269" s="22">
        <v>65207676</v>
      </c>
      <c r="S269" s="22">
        <f t="shared" si="53"/>
        <v>342915.64434541314</v>
      </c>
      <c r="T269" s="23">
        <f t="shared" si="54"/>
        <v>175329.9848889797</v>
      </c>
      <c r="BH269" s="58"/>
    </row>
    <row r="270" spans="14:60" ht="12.75">
      <c r="N270" s="67">
        <v>500000</v>
      </c>
      <c r="O270" s="64">
        <v>84731</v>
      </c>
      <c r="P270" s="21">
        <f t="shared" si="51"/>
        <v>121477</v>
      </c>
      <c r="Q270" s="22">
        <f t="shared" si="52"/>
        <v>59057298.01411</v>
      </c>
      <c r="R270" s="22">
        <v>30195517</v>
      </c>
      <c r="S270" s="22">
        <f t="shared" si="53"/>
        <v>696997.5335368401</v>
      </c>
      <c r="T270" s="23">
        <f t="shared" si="54"/>
        <v>356369.18011117534</v>
      </c>
      <c r="BH270" s="58"/>
    </row>
    <row r="271" spans="14:60" ht="12.75">
      <c r="N271" s="67">
        <v>1000000</v>
      </c>
      <c r="O271" s="64">
        <v>24242</v>
      </c>
      <c r="P271" s="21">
        <f t="shared" si="51"/>
        <v>36746</v>
      </c>
      <c r="Q271" s="22">
        <f t="shared" si="52"/>
        <v>33747005.6431</v>
      </c>
      <c r="R271" s="22">
        <v>17254570</v>
      </c>
      <c r="S271" s="22">
        <f t="shared" si="53"/>
        <v>1392088.3443239008</v>
      </c>
      <c r="T271" s="23">
        <f t="shared" si="54"/>
        <v>711763.4683606963</v>
      </c>
      <c r="BH271" s="58"/>
    </row>
    <row r="272" spans="14:60" ht="12.75">
      <c r="N272" s="67">
        <v>2500000</v>
      </c>
      <c r="O272" s="64">
        <v>9347</v>
      </c>
      <c r="P272" s="21">
        <f>P273+O272</f>
        <v>12504</v>
      </c>
      <c r="Q272" s="22">
        <f t="shared" si="52"/>
        <v>28145547.6397</v>
      </c>
      <c r="R272" s="22">
        <v>14390590</v>
      </c>
      <c r="S272" s="22">
        <f t="shared" si="53"/>
        <v>3011185.1545629613</v>
      </c>
      <c r="T272" s="23">
        <f t="shared" si="54"/>
        <v>1539594.5223066225</v>
      </c>
      <c r="BH272" s="58"/>
    </row>
    <row r="273" spans="14:60" ht="12.75">
      <c r="N273" s="67">
        <v>5000000</v>
      </c>
      <c r="O273" s="64">
        <v>2090</v>
      </c>
      <c r="P273" s="24">
        <f>P274+O273</f>
        <v>3157</v>
      </c>
      <c r="Q273" s="22">
        <f t="shared" si="52"/>
        <v>14330661.74033</v>
      </c>
      <c r="R273" s="22">
        <v>7327151</v>
      </c>
      <c r="S273" s="22">
        <f t="shared" si="53"/>
        <v>6856775.9523110045</v>
      </c>
      <c r="T273" s="23">
        <f t="shared" si="54"/>
        <v>3505813.875598086</v>
      </c>
      <c r="BH273" s="58"/>
    </row>
    <row r="274" spans="14:60" ht="12.75">
      <c r="N274" s="29" t="s">
        <v>1</v>
      </c>
      <c r="O274" s="64">
        <v>1067</v>
      </c>
      <c r="P274" s="24">
        <f>P275+O274</f>
        <v>1067</v>
      </c>
      <c r="Q274" s="22">
        <f t="shared" si="52"/>
        <v>24722991.82695</v>
      </c>
      <c r="R274" s="22">
        <v>12640665</v>
      </c>
      <c r="S274" s="22">
        <f t="shared" si="53"/>
        <v>23170564.036504216</v>
      </c>
      <c r="T274" s="23">
        <f t="shared" si="54"/>
        <v>11846921.274601687</v>
      </c>
      <c r="BH274" s="58"/>
    </row>
    <row r="275" spans="14:60" ht="12.75">
      <c r="N275" s="29" t="s">
        <v>2</v>
      </c>
      <c r="O275" s="20">
        <f>SUM(O265:O274)</f>
        <v>27969265</v>
      </c>
      <c r="P275" s="24"/>
      <c r="Q275" s="22">
        <f t="shared" si="52"/>
        <v>1954306856.31507</v>
      </c>
      <c r="R275" s="22">
        <f>SUM(R265:R274)</f>
        <v>999221229</v>
      </c>
      <c r="S275" s="9"/>
      <c r="T275" s="23"/>
      <c r="BH275" s="58"/>
    </row>
    <row r="276" spans="15:60" ht="12.75">
      <c r="O276" s="17"/>
      <c r="P276" s="6"/>
      <c r="Q276" s="6"/>
      <c r="R276" s="6"/>
      <c r="S276" s="6"/>
      <c r="T276" s="19"/>
      <c r="BH276" s="58"/>
    </row>
    <row r="277" spans="15:60" ht="12.75">
      <c r="O277" s="20">
        <v>1000</v>
      </c>
      <c r="P277" s="24"/>
      <c r="Q277" s="24"/>
      <c r="R277" s="32">
        <f>R274/O274*1000</f>
        <v>11846921.274601687</v>
      </c>
      <c r="S277" s="22"/>
      <c r="T277" s="33">
        <f>R277*1000/O277</f>
        <v>11846921.274601687</v>
      </c>
      <c r="BH277" s="58"/>
    </row>
    <row r="278" spans="15:60" ht="12.75">
      <c r="O278" s="20">
        <v>10000</v>
      </c>
      <c r="P278" s="24"/>
      <c r="Q278" s="24"/>
      <c r="R278" s="24">
        <f>SUM(R$273:R$274)+R$272/O$272*(O$272-P$272+11000)-R$277</f>
        <v>20195934.563849155</v>
      </c>
      <c r="S278" s="22"/>
      <c r="T278" s="33">
        <f>R278*1000/O278</f>
        <v>2019593.4563849156</v>
      </c>
      <c r="BH278" s="58"/>
    </row>
    <row r="279" spans="15:60" ht="12.75">
      <c r="O279" s="20">
        <v>100000</v>
      </c>
      <c r="P279" s="24"/>
      <c r="Q279" s="24"/>
      <c r="R279" s="24">
        <f>SUM(R$271:R$274)+R$270/O$270*(O$270-P$270+111000)-R$277-R$278</f>
        <v>46031957.26152438</v>
      </c>
      <c r="S279" s="22"/>
      <c r="T279" s="33">
        <f>R279*1000/O279</f>
        <v>460319.5726152438</v>
      </c>
      <c r="BH279" s="58"/>
    </row>
    <row r="280" spans="15:60" ht="12.75">
      <c r="O280" s="20">
        <v>1000000</v>
      </c>
      <c r="P280" s="24"/>
      <c r="Q280" s="24"/>
      <c r="R280" s="24">
        <f>SUM(R$269:R$274)+R$268/O$268*(O$268-P$268+1111000)-R$277-R$278-R$279</f>
        <v>113234457.947543</v>
      </c>
      <c r="S280" s="22"/>
      <c r="T280" s="33">
        <f>R280*1000/O280</f>
        <v>113234.457947543</v>
      </c>
      <c r="BH280" s="58"/>
    </row>
    <row r="281" spans="15:60" ht="12.75">
      <c r="O281" s="26">
        <f>O275-SUM(O277:O280)</f>
        <v>26858265</v>
      </c>
      <c r="P281" s="46">
        <f>O281/O275</f>
        <v>0.9602778263926492</v>
      </c>
      <c r="Q281" s="46"/>
      <c r="R281" s="27">
        <f>R275-SUM(R277:R280)</f>
        <v>807911957.9524817</v>
      </c>
      <c r="S281" s="66"/>
      <c r="T281" s="34">
        <f>R281*1000/O281</f>
        <v>30080.571397760865</v>
      </c>
      <c r="BH281" s="58"/>
    </row>
    <row r="282" ht="12.75">
      <c r="BG282" s="58"/>
    </row>
    <row r="283" spans="15:59" ht="12.75">
      <c r="O283" s="29" t="s">
        <v>56</v>
      </c>
      <c r="P283" s="65">
        <v>2004</v>
      </c>
      <c r="Q283" s="31" t="s">
        <v>59</v>
      </c>
      <c r="R283" s="63" t="s">
        <v>55</v>
      </c>
      <c r="S283" s="15"/>
      <c r="T283" s="15"/>
      <c r="U283" s="16"/>
      <c r="BG283" s="58"/>
    </row>
    <row r="284" spans="15:60" ht="12.75">
      <c r="O284" s="29" t="s">
        <v>0</v>
      </c>
      <c r="P284" s="17" t="s">
        <v>4</v>
      </c>
      <c r="Q284" s="6"/>
      <c r="R284" s="18" t="s">
        <v>5</v>
      </c>
      <c r="S284" s="18" t="s">
        <v>46</v>
      </c>
      <c r="T284" s="6" t="s">
        <v>3</v>
      </c>
      <c r="U284" s="19" t="s">
        <v>47</v>
      </c>
      <c r="BH284" s="58"/>
    </row>
    <row r="285" spans="13:60" ht="12.75">
      <c r="M285" s="68"/>
      <c r="O285" s="67">
        <v>1</v>
      </c>
      <c r="P285" s="69">
        <v>300225</v>
      </c>
      <c r="Q285" s="21">
        <f aca="true" t="shared" si="55" ref="Q285:Q294">Q286+P285</f>
        <v>49651568</v>
      </c>
      <c r="R285" s="22">
        <f aca="true" t="shared" si="56" ref="R285:R295">S285*1.95583</f>
        <v>-4908570.02096</v>
      </c>
      <c r="S285" s="21">
        <v>-2509712</v>
      </c>
      <c r="T285" s="22">
        <f aca="true" t="shared" si="57" ref="T285:T294">U285*1.95583</f>
        <v>-16349.637841485552</v>
      </c>
      <c r="U285" s="23">
        <f aca="true" t="shared" si="58" ref="U285:U294">S285*1000/P285</f>
        <v>-8359.437088850029</v>
      </c>
      <c r="BH285" s="58"/>
    </row>
    <row r="286" spans="13:60" ht="12.75">
      <c r="M286" s="68"/>
      <c r="O286" s="67">
        <v>12500</v>
      </c>
      <c r="P286" s="69">
        <v>14070293</v>
      </c>
      <c r="Q286" s="21">
        <f t="shared" si="55"/>
        <v>49351343</v>
      </c>
      <c r="R286" s="22">
        <f t="shared" si="56"/>
        <v>104256453.03674</v>
      </c>
      <c r="S286" s="21">
        <v>53305478</v>
      </c>
      <c r="T286" s="22">
        <f t="shared" si="57"/>
        <v>7409.685998489157</v>
      </c>
      <c r="U286" s="23">
        <f t="shared" si="58"/>
        <v>3788.5122932408017</v>
      </c>
      <c r="BH286" s="58"/>
    </row>
    <row r="287" spans="13:60" ht="12.75">
      <c r="M287" s="68"/>
      <c r="O287" s="67">
        <v>50000</v>
      </c>
      <c r="P287" s="69">
        <v>25574108</v>
      </c>
      <c r="Q287" s="21">
        <f t="shared" si="55"/>
        <v>35281050</v>
      </c>
      <c r="R287" s="22">
        <f t="shared" si="56"/>
        <v>1028416376.90352</v>
      </c>
      <c r="S287" s="21">
        <v>525820944</v>
      </c>
      <c r="T287" s="22">
        <f t="shared" si="57"/>
        <v>40213.18659104435</v>
      </c>
      <c r="U287" s="23">
        <f t="shared" si="58"/>
        <v>20560.675821029614</v>
      </c>
      <c r="BH287" s="58"/>
    </row>
    <row r="288" spans="13:60" ht="12.75">
      <c r="M288" s="68"/>
      <c r="O288" s="67">
        <v>125000</v>
      </c>
      <c r="P288" s="69">
        <v>8316713</v>
      </c>
      <c r="Q288" s="21">
        <f t="shared" si="55"/>
        <v>9706942</v>
      </c>
      <c r="R288" s="22">
        <f t="shared" si="56"/>
        <v>696744800.9668</v>
      </c>
      <c r="S288" s="21">
        <v>356239960</v>
      </c>
      <c r="T288" s="22">
        <f t="shared" si="57"/>
        <v>83776.4632453711</v>
      </c>
      <c r="U288" s="23">
        <f t="shared" si="58"/>
        <v>42834.22549269164</v>
      </c>
      <c r="BH288" s="58"/>
    </row>
    <row r="289" spans="13:60" ht="12.75">
      <c r="M289" s="68"/>
      <c r="O289" s="67">
        <v>250000</v>
      </c>
      <c r="P289" s="69">
        <v>1028009</v>
      </c>
      <c r="Q289" s="21">
        <f t="shared" si="55"/>
        <v>1390229</v>
      </c>
      <c r="R289" s="22">
        <f t="shared" si="56"/>
        <v>140144292.59537</v>
      </c>
      <c r="S289" s="21">
        <v>71654639</v>
      </c>
      <c r="T289" s="22">
        <f t="shared" si="57"/>
        <v>136325.93935984024</v>
      </c>
      <c r="U289" s="23">
        <f t="shared" si="58"/>
        <v>69702.34599113432</v>
      </c>
      <c r="BH289" s="58"/>
    </row>
    <row r="290" spans="13:60" ht="12.75">
      <c r="M290" s="68"/>
      <c r="O290" s="67">
        <v>500000</v>
      </c>
      <c r="P290" s="69">
        <v>258898</v>
      </c>
      <c r="Q290" s="21">
        <f t="shared" si="55"/>
        <v>362220</v>
      </c>
      <c r="R290" s="22">
        <f t="shared" si="56"/>
        <v>59643509.16086</v>
      </c>
      <c r="S290" s="21">
        <v>30495242</v>
      </c>
      <c r="T290" s="22">
        <f t="shared" si="57"/>
        <v>230374.54580900588</v>
      </c>
      <c r="U290" s="23">
        <f t="shared" si="58"/>
        <v>117788.63490641103</v>
      </c>
      <c r="BH290" s="58"/>
    </row>
    <row r="291" spans="13:60" ht="12.75">
      <c r="M291" s="68"/>
      <c r="O291" s="67">
        <v>1000000</v>
      </c>
      <c r="P291" s="69">
        <v>70031</v>
      </c>
      <c r="Q291" s="21">
        <f t="shared" si="55"/>
        <v>103322</v>
      </c>
      <c r="R291" s="22">
        <f t="shared" si="56"/>
        <v>29682256.96151</v>
      </c>
      <c r="S291" s="21">
        <v>15176297</v>
      </c>
      <c r="T291" s="22">
        <f t="shared" si="57"/>
        <v>423844.5397254073</v>
      </c>
      <c r="U291" s="23">
        <f t="shared" si="58"/>
        <v>216708.27205094887</v>
      </c>
      <c r="BH291" s="58"/>
    </row>
    <row r="292" spans="13:60" ht="12.75">
      <c r="M292" s="68"/>
      <c r="O292" s="67">
        <v>2500000</v>
      </c>
      <c r="P292" s="69">
        <v>24937</v>
      </c>
      <c r="Q292" s="21">
        <f t="shared" si="55"/>
        <v>33291</v>
      </c>
      <c r="R292" s="22">
        <f t="shared" si="56"/>
        <v>21873071.74492</v>
      </c>
      <c r="S292" s="21">
        <v>11183524</v>
      </c>
      <c r="T292" s="22">
        <f t="shared" si="57"/>
        <v>877133.2455756506</v>
      </c>
      <c r="U292" s="23">
        <f t="shared" si="58"/>
        <v>448471.1071901191</v>
      </c>
      <c r="BH292" s="58"/>
    </row>
    <row r="293" spans="13:60" ht="12.75">
      <c r="M293" s="68"/>
      <c r="O293" s="67">
        <v>5000000</v>
      </c>
      <c r="P293" s="69">
        <v>5241</v>
      </c>
      <c r="Q293" s="24">
        <f t="shared" si="55"/>
        <v>8354</v>
      </c>
      <c r="R293" s="22">
        <f t="shared" si="56"/>
        <v>10050108.73237</v>
      </c>
      <c r="S293" s="21">
        <v>5138539</v>
      </c>
      <c r="T293" s="22">
        <f t="shared" si="57"/>
        <v>1917593.7287483304</v>
      </c>
      <c r="U293" s="23">
        <f t="shared" si="58"/>
        <v>980450.104941805</v>
      </c>
      <c r="BH293" s="58"/>
    </row>
    <row r="294" spans="13:60" ht="12.75">
      <c r="M294" s="68"/>
      <c r="O294" s="29" t="s">
        <v>1</v>
      </c>
      <c r="P294" s="69">
        <v>3113</v>
      </c>
      <c r="Q294" s="24">
        <f t="shared" si="55"/>
        <v>3113</v>
      </c>
      <c r="R294" s="22">
        <f t="shared" si="56"/>
        <v>21243748.23748</v>
      </c>
      <c r="S294" s="21">
        <v>10861756</v>
      </c>
      <c r="T294" s="22">
        <f t="shared" si="57"/>
        <v>6824204.380815933</v>
      </c>
      <c r="U294" s="23">
        <f t="shared" si="58"/>
        <v>3489160.295534854</v>
      </c>
      <c r="BH294" s="58"/>
    </row>
    <row r="295" spans="15:60" ht="12.75">
      <c r="O295" s="29" t="s">
        <v>2</v>
      </c>
      <c r="P295" s="20">
        <f>SUM(P285:P294)</f>
        <v>49651568</v>
      </c>
      <c r="Q295" s="24"/>
      <c r="R295" s="22">
        <f t="shared" si="56"/>
        <v>2107146048.31861</v>
      </c>
      <c r="S295" s="22">
        <f>SUM(S285:S294)</f>
        <v>1077366667</v>
      </c>
      <c r="T295" s="9"/>
      <c r="U295" s="23"/>
      <c r="BH295" s="58"/>
    </row>
    <row r="296" spans="16:60" ht="12.75">
      <c r="P296" s="17"/>
      <c r="Q296" s="6"/>
      <c r="R296" s="6"/>
      <c r="S296" s="6"/>
      <c r="T296" s="6"/>
      <c r="U296" s="19"/>
      <c r="BH296" s="58"/>
    </row>
    <row r="297" spans="16:60" ht="12.75">
      <c r="P297" s="20">
        <v>1000</v>
      </c>
      <c r="Q297" s="24"/>
      <c r="R297" s="32"/>
      <c r="S297" s="32">
        <f>S294/P294*1000</f>
        <v>3489160.295534854</v>
      </c>
      <c r="T297" s="22"/>
      <c r="U297" s="33">
        <f>S297*1000/P297</f>
        <v>3489160.295534854</v>
      </c>
      <c r="BH297" s="58"/>
    </row>
    <row r="298" spans="16:60" ht="12.75">
      <c r="P298" s="20">
        <v>10000</v>
      </c>
      <c r="Q298" s="24"/>
      <c r="R298" s="24"/>
      <c r="S298" s="24">
        <f>SUM(S$293:S$294)+S$292/P$292*(P$292-Q$292+11000)-S$297</f>
        <v>13697789.254090201</v>
      </c>
      <c r="T298" s="22"/>
      <c r="U298" s="33">
        <f>S298*1000/P298</f>
        <v>1369778.9254090202</v>
      </c>
      <c r="BH298" s="58"/>
    </row>
    <row r="299" spans="16:60" ht="12.75">
      <c r="P299" s="20">
        <v>100000</v>
      </c>
      <c r="Q299" s="24"/>
      <c r="R299" s="24"/>
      <c r="S299" s="24">
        <f>SUM(S$292:S$294)+S$291/P$291*(P$291-Q$291+111000)-S$297-S$298</f>
        <v>26837052.563182127</v>
      </c>
      <c r="T299" s="22"/>
      <c r="U299" s="33">
        <f>S299*1000/P299</f>
        <v>268370.52563182125</v>
      </c>
      <c r="BH299" s="58"/>
    </row>
    <row r="300" spans="16:60" ht="12.75">
      <c r="P300" s="20">
        <v>1000000</v>
      </c>
      <c r="Q300" s="24"/>
      <c r="R300" s="24"/>
      <c r="S300" s="24">
        <f>SUM(S$290:S$294)+S$289/P$289*(P$289-Q$289+1111000)-S$297-S$298-S$299</f>
        <v>81023078.51843438</v>
      </c>
      <c r="T300" s="22"/>
      <c r="U300" s="33">
        <f>S300*1000/P300</f>
        <v>81023.07851843437</v>
      </c>
      <c r="BH300" s="58"/>
    </row>
    <row r="301" spans="16:60" ht="12.75">
      <c r="P301" s="26">
        <f>P295-SUM(P297:P300)</f>
        <v>48540568</v>
      </c>
      <c r="Q301" s="46">
        <f>P301/P295</f>
        <v>0.9776240702005624</v>
      </c>
      <c r="R301" s="46"/>
      <c r="S301" s="27">
        <f>S295-SUM(S297:S300)</f>
        <v>952319586.3687584</v>
      </c>
      <c r="T301" s="66"/>
      <c r="U301" s="34">
        <f>S301*1000/P301</f>
        <v>19619.044968092636</v>
      </c>
      <c r="BH301" s="58"/>
    </row>
    <row r="302" ht="12.75">
      <c r="BG302" s="58"/>
    </row>
    <row r="303" ht="12.75">
      <c r="BG303" s="58"/>
    </row>
    <row r="304" ht="12.75">
      <c r="BG304" s="58"/>
    </row>
    <row r="305" ht="12.75">
      <c r="BG305" s="58"/>
    </row>
    <row r="306" ht="12.75">
      <c r="BG306" s="58"/>
    </row>
    <row r="309" ht="13.5" thickBot="1"/>
    <row r="310" spans="1:21" ht="12.75">
      <c r="A310" s="2" t="s">
        <v>58</v>
      </c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4"/>
    </row>
    <row r="311" spans="1:21" ht="12.75">
      <c r="A311" s="5"/>
      <c r="B311" s="6"/>
      <c r="C311" s="6"/>
      <c r="D311" s="6"/>
      <c r="E311" s="6"/>
      <c r="F311" s="6"/>
      <c r="G311" s="6">
        <v>1961</v>
      </c>
      <c r="H311" s="6">
        <v>1965</v>
      </c>
      <c r="I311" s="6">
        <v>1968</v>
      </c>
      <c r="J311" s="6">
        <v>1971</v>
      </c>
      <c r="K311" s="6">
        <v>1974</v>
      </c>
      <c r="L311" s="6">
        <v>1977</v>
      </c>
      <c r="M311" s="6">
        <v>1980</v>
      </c>
      <c r="N311" s="6">
        <v>1983</v>
      </c>
      <c r="O311" s="6">
        <v>1986</v>
      </c>
      <c r="P311" s="6">
        <v>1989</v>
      </c>
      <c r="Q311" s="6">
        <v>1992</v>
      </c>
      <c r="R311" s="6">
        <v>1995</v>
      </c>
      <c r="S311" s="6">
        <v>1998</v>
      </c>
      <c r="T311" s="6">
        <v>2001</v>
      </c>
      <c r="U311" s="7">
        <v>2004</v>
      </c>
    </row>
    <row r="312" spans="1:21" ht="12.75">
      <c r="A312" s="8" t="s">
        <v>8</v>
      </c>
      <c r="B312" s="6"/>
      <c r="C312" s="6"/>
      <c r="D312" s="6"/>
      <c r="E312" s="6"/>
      <c r="F312" s="6"/>
      <c r="G312" s="9">
        <f>G17</f>
        <v>1198020.7891278896</v>
      </c>
      <c r="H312" s="9">
        <f>H37</f>
        <v>1151770.1777080148</v>
      </c>
      <c r="I312" s="9">
        <f>I57</f>
        <v>1261804.4513071177</v>
      </c>
      <c r="J312" s="9">
        <f>J77</f>
        <v>2857680.873611138</v>
      </c>
      <c r="K312" s="9">
        <f>K97</f>
        <v>2612905.085876374</v>
      </c>
      <c r="L312" s="9">
        <f>L117</f>
        <v>3007280.495628304</v>
      </c>
      <c r="M312" s="9">
        <f>M137</f>
        <v>4448773.382371905</v>
      </c>
      <c r="N312" s="9">
        <f>N157</f>
        <v>5131312.537388219</v>
      </c>
      <c r="O312" s="9">
        <f>O177</f>
        <v>7352536.30693966</v>
      </c>
      <c r="P312" s="9">
        <f>P197</f>
        <v>17706076.225802325</v>
      </c>
      <c r="Q312" s="9">
        <f>Q217</f>
        <v>8535648.319715725</v>
      </c>
      <c r="R312" s="9">
        <f>R237</f>
        <v>8656560.655304149</v>
      </c>
      <c r="S312" s="9">
        <f>S257</f>
        <v>10583830.710797612</v>
      </c>
      <c r="T312" s="9">
        <f>T277</f>
        <v>11846921.274601687</v>
      </c>
      <c r="U312" s="70">
        <f>U297</f>
        <v>3489160.295534854</v>
      </c>
    </row>
    <row r="313" spans="1:21" ht="12.75">
      <c r="A313" s="8" t="s">
        <v>7</v>
      </c>
      <c r="B313" s="6"/>
      <c r="C313" s="6"/>
      <c r="D313" s="6"/>
      <c r="E313" s="6"/>
      <c r="F313" s="6"/>
      <c r="G313" s="9">
        <f>G18</f>
        <v>294667.14397784346</v>
      </c>
      <c r="H313" s="9">
        <f>H38</f>
        <v>394456.07071502676</v>
      </c>
      <c r="I313" s="9">
        <f>I58</f>
        <v>405214.19868132536</v>
      </c>
      <c r="J313" s="9">
        <f>J78</f>
        <v>491734.64604840416</v>
      </c>
      <c r="K313" s="9">
        <f>K98</f>
        <v>510151.72199637914</v>
      </c>
      <c r="L313" s="9">
        <f>L118</f>
        <v>628753.1232191405</v>
      </c>
      <c r="M313" s="9">
        <f>M138</f>
        <v>854012.3737714136</v>
      </c>
      <c r="N313" s="9">
        <f>N158</f>
        <v>887066.0613100032</v>
      </c>
      <c r="O313" s="9">
        <f>O178</f>
        <v>1099418.1033618778</v>
      </c>
      <c r="P313" s="9">
        <f>P198</f>
        <v>1390848.6467363194</v>
      </c>
      <c r="Q313" s="9">
        <f>Q218</f>
        <v>1589181.8177434765</v>
      </c>
      <c r="R313" s="9">
        <f>R238</f>
        <v>1377629.5233275895</v>
      </c>
      <c r="S313" s="9">
        <f>S258</f>
        <v>2633858.07079985</v>
      </c>
      <c r="T313" s="9">
        <f>T278</f>
        <v>2019593.4563849156</v>
      </c>
      <c r="U313" s="70">
        <f>U298</f>
        <v>1369778.9254090202</v>
      </c>
    </row>
    <row r="314" spans="1:21" ht="12.75">
      <c r="A314" s="8" t="s">
        <v>6</v>
      </c>
      <c r="B314" s="6"/>
      <c r="C314" s="6"/>
      <c r="D314" s="6"/>
      <c r="E314" s="6"/>
      <c r="F314" s="6"/>
      <c r="G314" s="9">
        <f>G19</f>
        <v>51724.311916240455</v>
      </c>
      <c r="H314" s="9">
        <f>H39</f>
        <v>75214.94657434397</v>
      </c>
      <c r="I314" s="9">
        <f>I59</f>
        <v>84425.15013028246</v>
      </c>
      <c r="J314" s="9">
        <f>J79</f>
        <v>104663.14149944174</v>
      </c>
      <c r="K314" s="9">
        <f>K99</f>
        <v>121753.13747202605</v>
      </c>
      <c r="L314" s="9">
        <f>L119</f>
        <v>154120.54155646948</v>
      </c>
      <c r="M314" s="9">
        <f>M139</f>
        <v>203598.46129928817</v>
      </c>
      <c r="N314" s="9">
        <f>N159</f>
        <v>202426.9242294615</v>
      </c>
      <c r="O314" s="9">
        <f>O179</f>
        <v>231460.84571392895</v>
      </c>
      <c r="P314" s="9">
        <f>P199</f>
        <v>270714.90174814785</v>
      </c>
      <c r="Q314" s="9">
        <f>Q219</f>
        <v>338879.888423002</v>
      </c>
      <c r="R314" s="9">
        <f>R239</f>
        <v>305724.11604783655</v>
      </c>
      <c r="S314" s="9">
        <f>S259</f>
        <v>409299.1768271004</v>
      </c>
      <c r="T314" s="9">
        <f>T279</f>
        <v>460319.5726152438</v>
      </c>
      <c r="U314" s="70">
        <f>U299</f>
        <v>268370.52563182125</v>
      </c>
    </row>
    <row r="315" spans="1:21" ht="12.75">
      <c r="A315" s="8" t="s">
        <v>9</v>
      </c>
      <c r="B315" s="6"/>
      <c r="C315" s="6"/>
      <c r="D315" s="6"/>
      <c r="E315" s="6"/>
      <c r="F315" s="6"/>
      <c r="G315" s="9">
        <f>G20</f>
        <v>10904.730977452422</v>
      </c>
      <c r="H315" s="9">
        <f>H40</f>
        <v>17631.15732975621</v>
      </c>
      <c r="I315" s="9">
        <f>I60</f>
        <v>12204.337614711087</v>
      </c>
      <c r="J315" s="9">
        <f>J80</f>
        <v>23344.259741337362</v>
      </c>
      <c r="K315" s="9">
        <f>K100</f>
        <v>27815.795959744675</v>
      </c>
      <c r="L315" s="9">
        <f>L120</f>
        <v>34177.701360753585</v>
      </c>
      <c r="M315" s="9">
        <f>M140</f>
        <v>44444.10901999294</v>
      </c>
      <c r="N315" s="9">
        <f>N160</f>
        <v>49390.031780333076</v>
      </c>
      <c r="O315" s="9">
        <f>O180</f>
        <v>63687.47297769511</v>
      </c>
      <c r="P315" s="9">
        <f>P200</f>
        <v>76291.35234571062</v>
      </c>
      <c r="Q315" s="9">
        <f>Q220</f>
        <v>86666.0942088148</v>
      </c>
      <c r="R315" s="9">
        <f>R240</f>
        <v>85451.83987462084</v>
      </c>
      <c r="S315" s="9">
        <f>S260</f>
        <v>84188.90288475469</v>
      </c>
      <c r="T315" s="9">
        <f>T280</f>
        <v>113234.457947543</v>
      </c>
      <c r="U315" s="70">
        <f>U300</f>
        <v>81023.07851843437</v>
      </c>
    </row>
    <row r="316" spans="1:21" ht="13.5" thickBot="1">
      <c r="A316" s="11" t="s">
        <v>10</v>
      </c>
      <c r="B316" s="14"/>
      <c r="C316" s="14"/>
      <c r="D316" s="14"/>
      <c r="E316" s="14"/>
      <c r="F316" s="14"/>
      <c r="G316" s="12">
        <f>G21</f>
        <v>3006.4399239134864</v>
      </c>
      <c r="H316" s="12">
        <f>H41</f>
        <v>3865.967616432898</v>
      </c>
      <c r="I316" s="12">
        <f>I61</f>
        <v>5359.917521501498</v>
      </c>
      <c r="J316" s="12">
        <f>J81</f>
        <v>7705.721434033025</v>
      </c>
      <c r="K316" s="12">
        <f>K101</f>
        <v>10502.321533850589</v>
      </c>
      <c r="L316" s="12">
        <f>L121</f>
        <v>12301.981408039217</v>
      </c>
      <c r="M316" s="12">
        <f>M141</f>
        <v>14291.257854709434</v>
      </c>
      <c r="N316" s="12">
        <f>N161</f>
        <v>15169.986849952635</v>
      </c>
      <c r="O316" s="12">
        <f>O181</f>
        <v>17127.64255176249</v>
      </c>
      <c r="P316" s="12">
        <f>P201</f>
        <v>19478.199898124054</v>
      </c>
      <c r="Q316" s="12">
        <f>Q221</f>
        <v>22652.886552129436</v>
      </c>
      <c r="R316" s="12">
        <f>R241</f>
        <v>24357.167387018897</v>
      </c>
      <c r="S316" s="12">
        <f>S261</f>
        <v>21111.986925644538</v>
      </c>
      <c r="T316" s="12">
        <f>T281</f>
        <v>30080.571397760865</v>
      </c>
      <c r="U316" s="71">
        <f>U301</f>
        <v>19619.044968092636</v>
      </c>
    </row>
    <row r="317" ht="13.5" thickBot="1"/>
    <row r="318" spans="1:18" ht="12.75">
      <c r="A318" s="2" t="s">
        <v>12</v>
      </c>
      <c r="B318" s="3"/>
      <c r="C318" s="3"/>
      <c r="D318" s="3"/>
      <c r="E318" s="3">
        <f>230*8</f>
        <v>1840</v>
      </c>
      <c r="F318" s="3" t="s">
        <v>11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4"/>
    </row>
    <row r="319" spans="1:18" ht="12.75">
      <c r="A319" s="5"/>
      <c r="B319" s="6"/>
      <c r="C319" s="6"/>
      <c r="D319" s="6"/>
      <c r="E319" s="6">
        <v>1961</v>
      </c>
      <c r="F319" s="6">
        <v>1965</v>
      </c>
      <c r="G319" s="6">
        <v>1968</v>
      </c>
      <c r="H319" s="6">
        <v>1971</v>
      </c>
      <c r="I319" s="6">
        <v>1974</v>
      </c>
      <c r="J319" s="6">
        <v>1977</v>
      </c>
      <c r="K319" s="6">
        <v>1980</v>
      </c>
      <c r="L319" s="6">
        <v>1983</v>
      </c>
      <c r="M319" s="6">
        <v>1986</v>
      </c>
      <c r="N319" s="6">
        <v>1989</v>
      </c>
      <c r="O319" s="6">
        <v>1992</v>
      </c>
      <c r="P319" s="6">
        <v>1995</v>
      </c>
      <c r="Q319" s="6">
        <v>1998</v>
      </c>
      <c r="R319" s="7">
        <v>2001</v>
      </c>
    </row>
    <row r="320" spans="1:18" ht="12.75">
      <c r="A320" s="8" t="s">
        <v>8</v>
      </c>
      <c r="B320" s="6"/>
      <c r="C320" s="6"/>
      <c r="D320" s="6"/>
      <c r="E320" s="9">
        <f aca="true" t="shared" si="59" ref="E320:P320">G312/$E$318</f>
        <v>651.0982549608095</v>
      </c>
      <c r="F320" s="9">
        <f t="shared" si="59"/>
        <v>625.9620531021819</v>
      </c>
      <c r="G320" s="9">
        <f t="shared" si="59"/>
        <v>685.7632887538683</v>
      </c>
      <c r="H320" s="9">
        <f t="shared" si="59"/>
        <v>1553.0874313104011</v>
      </c>
      <c r="I320" s="9">
        <f t="shared" si="59"/>
        <v>1420.0571118893338</v>
      </c>
      <c r="J320" s="9">
        <f t="shared" si="59"/>
        <v>1634.3915737110347</v>
      </c>
      <c r="K320" s="9">
        <f t="shared" si="59"/>
        <v>2417.8116208542965</v>
      </c>
      <c r="L320" s="9">
        <f t="shared" si="59"/>
        <v>2788.7568137979447</v>
      </c>
      <c r="M320" s="9">
        <f t="shared" si="59"/>
        <v>3995.943645075902</v>
      </c>
      <c r="N320" s="9">
        <f t="shared" si="59"/>
        <v>9622.867514023003</v>
      </c>
      <c r="O320" s="9">
        <f t="shared" si="59"/>
        <v>4638.939304193329</v>
      </c>
      <c r="P320" s="9">
        <f t="shared" si="59"/>
        <v>4704.652530056603</v>
      </c>
      <c r="Q320" s="9">
        <f aca="true" t="shared" si="60" ref="Q320:R324">S312/$E$318</f>
        <v>5752.081908042181</v>
      </c>
      <c r="R320" s="10">
        <f t="shared" si="60"/>
        <v>6438.544170979178</v>
      </c>
    </row>
    <row r="321" spans="1:18" ht="12.75">
      <c r="A321" s="8" t="s">
        <v>7</v>
      </c>
      <c r="B321" s="6"/>
      <c r="C321" s="6"/>
      <c r="D321" s="6"/>
      <c r="E321" s="9">
        <f aca="true" t="shared" si="61" ref="E321:P321">G313/$E$318</f>
        <v>160.14518694448014</v>
      </c>
      <c r="F321" s="9">
        <f t="shared" si="61"/>
        <v>214.37829930164497</v>
      </c>
      <c r="G321" s="9">
        <f t="shared" si="61"/>
        <v>220.22510797898119</v>
      </c>
      <c r="H321" s="9">
        <f t="shared" si="61"/>
        <v>267.2470902436979</v>
      </c>
      <c r="I321" s="9">
        <f t="shared" si="61"/>
        <v>277.25637065020607</v>
      </c>
      <c r="J321" s="9">
        <f t="shared" si="61"/>
        <v>341.7136539234459</v>
      </c>
      <c r="K321" s="9">
        <f t="shared" si="61"/>
        <v>464.13715965837696</v>
      </c>
      <c r="L321" s="9">
        <f t="shared" si="61"/>
        <v>482.10112027717565</v>
      </c>
      <c r="M321" s="9">
        <f t="shared" si="61"/>
        <v>597.5098387836292</v>
      </c>
      <c r="N321" s="9">
        <f t="shared" si="61"/>
        <v>755.8960036610432</v>
      </c>
      <c r="O321" s="9">
        <f t="shared" si="61"/>
        <v>863.685770512759</v>
      </c>
      <c r="P321" s="9">
        <f t="shared" si="61"/>
        <v>748.7116974606465</v>
      </c>
      <c r="Q321" s="9">
        <f t="shared" si="60"/>
        <v>1431.4446036955705</v>
      </c>
      <c r="R321" s="10">
        <f t="shared" si="60"/>
        <v>1097.605139339628</v>
      </c>
    </row>
    <row r="322" spans="1:18" ht="12.75">
      <c r="A322" s="8" t="s">
        <v>6</v>
      </c>
      <c r="B322" s="6"/>
      <c r="C322" s="6"/>
      <c r="D322" s="6"/>
      <c r="E322" s="9">
        <f aca="true" t="shared" si="62" ref="E322:P322">G314/$E$318</f>
        <v>28.11103908491329</v>
      </c>
      <c r="F322" s="9">
        <f t="shared" si="62"/>
        <v>40.87768835562172</v>
      </c>
      <c r="G322" s="9">
        <f t="shared" si="62"/>
        <v>45.88323376645786</v>
      </c>
      <c r="H322" s="9">
        <f t="shared" si="62"/>
        <v>56.882142119261815</v>
      </c>
      <c r="I322" s="9">
        <f t="shared" si="62"/>
        <v>66.1701834087098</v>
      </c>
      <c r="J322" s="9">
        <f t="shared" si="62"/>
        <v>83.76116388938559</v>
      </c>
      <c r="K322" s="9">
        <f t="shared" si="62"/>
        <v>110.65133766265662</v>
      </c>
      <c r="L322" s="9">
        <f t="shared" si="62"/>
        <v>110.01463273340299</v>
      </c>
      <c r="M322" s="9">
        <f t="shared" si="62"/>
        <v>125.79393788800486</v>
      </c>
      <c r="N322" s="9">
        <f t="shared" si="62"/>
        <v>147.12766399355863</v>
      </c>
      <c r="O322" s="9">
        <f t="shared" si="62"/>
        <v>184.17385240380543</v>
      </c>
      <c r="P322" s="9">
        <f t="shared" si="62"/>
        <v>166.15441089556333</v>
      </c>
      <c r="Q322" s="9">
        <f t="shared" si="60"/>
        <v>222.44520479733717</v>
      </c>
      <c r="R322" s="10">
        <f t="shared" si="60"/>
        <v>250.17368076915423</v>
      </c>
    </row>
    <row r="323" spans="1:18" ht="12.75">
      <c r="A323" s="8" t="s">
        <v>9</v>
      </c>
      <c r="B323" s="6"/>
      <c r="C323" s="6"/>
      <c r="D323" s="6"/>
      <c r="E323" s="9">
        <f aca="true" t="shared" si="63" ref="E323:P323">G315/$E$318</f>
        <v>5.926484226876316</v>
      </c>
      <c r="F323" s="9">
        <f t="shared" si="63"/>
        <v>9.582150722693592</v>
      </c>
      <c r="G323" s="9">
        <f t="shared" si="63"/>
        <v>6.632792181908199</v>
      </c>
      <c r="H323" s="9">
        <f t="shared" si="63"/>
        <v>12.687097685509436</v>
      </c>
      <c r="I323" s="9">
        <f t="shared" si="63"/>
        <v>15.117280412904714</v>
      </c>
      <c r="J323" s="9">
        <f t="shared" si="63"/>
        <v>18.57483769606173</v>
      </c>
      <c r="K323" s="9">
        <f t="shared" si="63"/>
        <v>24.154407076083118</v>
      </c>
      <c r="L323" s="9">
        <f t="shared" si="63"/>
        <v>26.842408576267974</v>
      </c>
      <c r="M323" s="9">
        <f t="shared" si="63"/>
        <v>34.61275705309517</v>
      </c>
      <c r="N323" s="9">
        <f t="shared" si="63"/>
        <v>41.462691492234036</v>
      </c>
      <c r="O323" s="9">
        <f t="shared" si="63"/>
        <v>47.101138156964566</v>
      </c>
      <c r="P323" s="9">
        <f t="shared" si="63"/>
        <v>46.4412173231635</v>
      </c>
      <c r="Q323" s="9">
        <f t="shared" si="60"/>
        <v>45.7548385243232</v>
      </c>
      <c r="R323" s="10">
        <f t="shared" si="60"/>
        <v>61.54046627583858</v>
      </c>
    </row>
    <row r="324" spans="1:18" ht="13.5" thickBot="1">
      <c r="A324" s="11" t="s">
        <v>10</v>
      </c>
      <c r="B324" s="14"/>
      <c r="C324" s="14"/>
      <c r="D324" s="14"/>
      <c r="E324" s="12">
        <f aca="true" t="shared" si="64" ref="E324:P324">G316/$E$318</f>
        <v>1.6339347412573295</v>
      </c>
      <c r="F324" s="12">
        <f t="shared" si="64"/>
        <v>2.10106935675701</v>
      </c>
      <c r="G324" s="12">
        <f t="shared" si="64"/>
        <v>2.9129986529899448</v>
      </c>
      <c r="H324" s="12">
        <f t="shared" si="64"/>
        <v>4.1878920837136</v>
      </c>
      <c r="I324" s="12">
        <f t="shared" si="64"/>
        <v>5.707783442310102</v>
      </c>
      <c r="J324" s="12">
        <f t="shared" si="64"/>
        <v>6.685859460890879</v>
      </c>
      <c r="K324" s="12">
        <f t="shared" si="64"/>
        <v>7.766987964515997</v>
      </c>
      <c r="L324" s="12">
        <f t="shared" si="64"/>
        <v>8.244558070626432</v>
      </c>
      <c r="M324" s="12">
        <f t="shared" si="64"/>
        <v>9.308501386827439</v>
      </c>
      <c r="N324" s="12">
        <f t="shared" si="64"/>
        <v>10.585978205502203</v>
      </c>
      <c r="O324" s="12">
        <f t="shared" si="64"/>
        <v>12.311351387026868</v>
      </c>
      <c r="P324" s="12">
        <f t="shared" si="64"/>
        <v>13.237590971205922</v>
      </c>
      <c r="Q324" s="12">
        <f t="shared" si="60"/>
        <v>11.473905937850292</v>
      </c>
      <c r="R324" s="13">
        <f t="shared" si="60"/>
        <v>16.348136629217862</v>
      </c>
    </row>
    <row r="325" spans="1:16" ht="12.75">
      <c r="A325" s="6"/>
      <c r="B325" s="6"/>
      <c r="C325" s="6"/>
      <c r="D325" s="6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ht="13.5" thickBot="1">
      <c r="P326" s="45"/>
    </row>
    <row r="327" spans="1:18" ht="12.75">
      <c r="A327" s="2" t="s">
        <v>37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4"/>
    </row>
    <row r="328" spans="1:18" ht="12.75">
      <c r="A328" s="5"/>
      <c r="B328" s="6"/>
      <c r="C328" s="6"/>
      <c r="D328" s="6"/>
      <c r="E328" s="6">
        <v>1961</v>
      </c>
      <c r="F328" s="6">
        <v>1965</v>
      </c>
      <c r="G328" s="6">
        <v>1968</v>
      </c>
      <c r="H328" s="6">
        <v>1971</v>
      </c>
      <c r="I328" s="6">
        <v>1974</v>
      </c>
      <c r="J328" s="6">
        <v>1977</v>
      </c>
      <c r="K328" s="6">
        <v>1980</v>
      </c>
      <c r="L328" s="6">
        <v>1983</v>
      </c>
      <c r="M328" s="6">
        <v>1986</v>
      </c>
      <c r="N328" s="6">
        <v>1989</v>
      </c>
      <c r="O328" s="6">
        <v>1992</v>
      </c>
      <c r="P328" s="6">
        <v>1995</v>
      </c>
      <c r="Q328" s="6">
        <v>1998</v>
      </c>
      <c r="R328" s="7">
        <v>2001</v>
      </c>
    </row>
    <row r="329" spans="1:18" ht="12.75">
      <c r="A329" s="51" t="s">
        <v>40</v>
      </c>
      <c r="B329" s="52"/>
      <c r="C329" s="52"/>
      <c r="D329" s="52"/>
      <c r="E329" s="52" t="e">
        <f>NA()</f>
        <v>#N/A</v>
      </c>
      <c r="F329" s="52" t="e">
        <f>NA()</f>
        <v>#N/A</v>
      </c>
      <c r="G329" s="53">
        <v>93466000000</v>
      </c>
      <c r="H329" s="53">
        <v>121522000000</v>
      </c>
      <c r="I329" s="53">
        <v>158432000000</v>
      </c>
      <c r="J329" s="53">
        <v>208076000000</v>
      </c>
      <c r="K329" s="53">
        <v>257335000000</v>
      </c>
      <c r="L329" s="53">
        <v>295795000000</v>
      </c>
      <c r="M329" s="53">
        <v>358747000000</v>
      </c>
      <c r="N329" s="53">
        <v>450623000000</v>
      </c>
      <c r="O329" s="53">
        <v>669575000000</v>
      </c>
      <c r="P329" s="53">
        <v>816094000000</v>
      </c>
      <c r="Q329" s="55">
        <v>1042090000000</v>
      </c>
      <c r="R329" s="54">
        <v>1176700000000</v>
      </c>
    </row>
    <row r="330" spans="1:18" ht="12.75">
      <c r="A330" s="35" t="s">
        <v>27</v>
      </c>
      <c r="B330" s="36"/>
      <c r="C330" s="36"/>
      <c r="D330" s="36"/>
      <c r="E330" s="36"/>
      <c r="F330" s="36"/>
      <c r="G330" s="36" t="s">
        <v>41</v>
      </c>
      <c r="H330" s="36" t="s">
        <v>41</v>
      </c>
      <c r="I330" s="36" t="s">
        <v>41</v>
      </c>
      <c r="J330" s="47" t="s">
        <v>43</v>
      </c>
      <c r="K330" s="47" t="s">
        <v>42</v>
      </c>
      <c r="L330" s="47" t="s">
        <v>42</v>
      </c>
      <c r="M330" s="47" t="s">
        <v>31</v>
      </c>
      <c r="N330" s="47" t="s">
        <v>31</v>
      </c>
      <c r="O330" s="47" t="s">
        <v>44</v>
      </c>
      <c r="P330" s="47" t="s">
        <v>44</v>
      </c>
      <c r="Q330" s="47" t="s">
        <v>44</v>
      </c>
      <c r="R330" s="59" t="s">
        <v>50</v>
      </c>
    </row>
    <row r="331" spans="1:18" ht="12.75">
      <c r="A331" s="74" t="s">
        <v>35</v>
      </c>
      <c r="B331" s="75"/>
      <c r="C331" s="61"/>
      <c r="D331" s="61"/>
      <c r="E331" s="36"/>
      <c r="F331" s="36"/>
      <c r="G331" s="37">
        <f>I$312</f>
        <v>1261804.4513071177</v>
      </c>
      <c r="H331" s="37">
        <f>J$312</f>
        <v>2857680.873611138</v>
      </c>
      <c r="I331" s="37">
        <f>K$312</f>
        <v>2612905.085876374</v>
      </c>
      <c r="J331" s="37">
        <f aca="true" t="shared" si="65" ref="J331:R331">L$312</f>
        <v>3007280.495628304</v>
      </c>
      <c r="K331" s="37">
        <f t="shared" si="65"/>
        <v>4448773.382371905</v>
      </c>
      <c r="L331" s="37">
        <f t="shared" si="65"/>
        <v>5131312.537388219</v>
      </c>
      <c r="M331" s="37">
        <f t="shared" si="65"/>
        <v>7352536.30693966</v>
      </c>
      <c r="N331" s="37">
        <f t="shared" si="65"/>
        <v>17706076.225802325</v>
      </c>
      <c r="O331" s="37">
        <f t="shared" si="65"/>
        <v>8535648.319715725</v>
      </c>
      <c r="P331" s="37">
        <f>R$312</f>
        <v>8656560.655304149</v>
      </c>
      <c r="Q331" s="37">
        <f t="shared" si="65"/>
        <v>10583830.710797612</v>
      </c>
      <c r="R331" s="38">
        <f t="shared" si="65"/>
        <v>11846921.274601687</v>
      </c>
    </row>
    <row r="332" spans="1:18" ht="12.75">
      <c r="A332" s="74"/>
      <c r="B332" s="75"/>
      <c r="C332" s="61"/>
      <c r="D332" s="61"/>
      <c r="E332" s="39"/>
      <c r="F332" s="39"/>
      <c r="G332" s="39">
        <f aca="true" t="shared" si="66" ref="G332:R332">G331*10000</f>
        <v>12618044513.071177</v>
      </c>
      <c r="H332" s="39">
        <f t="shared" si="66"/>
        <v>28576808736.11138</v>
      </c>
      <c r="I332" s="39">
        <f t="shared" si="66"/>
        <v>26129050858.76374</v>
      </c>
      <c r="J332" s="39">
        <f t="shared" si="66"/>
        <v>30072804956.28304</v>
      </c>
      <c r="K332" s="39">
        <f t="shared" si="66"/>
        <v>44487733823.719055</v>
      </c>
      <c r="L332" s="39">
        <f t="shared" si="66"/>
        <v>51313125373.88219</v>
      </c>
      <c r="M332" s="39">
        <f t="shared" si="66"/>
        <v>73525363069.39659</v>
      </c>
      <c r="N332" s="39">
        <f t="shared" si="66"/>
        <v>177060762258.02325</v>
      </c>
      <c r="O332" s="39">
        <f t="shared" si="66"/>
        <v>85356483197.15726</v>
      </c>
      <c r="P332" s="39">
        <f t="shared" si="66"/>
        <v>86565606553.04149</v>
      </c>
      <c r="Q332" s="39">
        <f t="shared" si="66"/>
        <v>105838307107.97612</v>
      </c>
      <c r="R332" s="41">
        <f t="shared" si="66"/>
        <v>118469212746.01686</v>
      </c>
    </row>
    <row r="333" spans="1:18" ht="12.75">
      <c r="A333" s="5" t="s">
        <v>28</v>
      </c>
      <c r="B333" s="6"/>
      <c r="C333" s="6"/>
      <c r="D333" s="6"/>
      <c r="E333" s="6"/>
      <c r="F333" s="6"/>
      <c r="G333" s="40">
        <f>G331/G329</f>
        <v>1.350014391658055E-05</v>
      </c>
      <c r="H333" s="40">
        <f>H331/H329</f>
        <v>2.3515749194476213E-05</v>
      </c>
      <c r="I333" s="40">
        <f>I331/I329</f>
        <v>1.6492281141918137E-05</v>
      </c>
      <c r="J333" s="40">
        <f aca="true" t="shared" si="67" ref="J333:P333">J331/J329</f>
        <v>1.4452798475693035E-05</v>
      </c>
      <c r="K333" s="40">
        <f t="shared" si="67"/>
        <v>1.728786749712206E-05</v>
      </c>
      <c r="L333" s="40">
        <f t="shared" si="67"/>
        <v>1.734752966543795E-05</v>
      </c>
      <c r="M333" s="40">
        <f t="shared" si="67"/>
        <v>2.0495046110321923E-05</v>
      </c>
      <c r="N333" s="40">
        <f t="shared" si="67"/>
        <v>3.9292437860034494E-05</v>
      </c>
      <c r="O333" s="40">
        <f t="shared" si="67"/>
        <v>1.2747859940582796E-05</v>
      </c>
      <c r="P333" s="40">
        <f t="shared" si="67"/>
        <v>1.0607308294515275E-05</v>
      </c>
      <c r="Q333" s="40">
        <f>Q331/Q329</f>
        <v>1.015634994174938E-05</v>
      </c>
      <c r="R333" s="42">
        <f>R331/R329</f>
        <v>1.006791983904282E-05</v>
      </c>
    </row>
    <row r="334" spans="1:18" ht="13.5" thickBot="1">
      <c r="A334" s="11" t="s">
        <v>38</v>
      </c>
      <c r="B334" s="14"/>
      <c r="C334" s="14"/>
      <c r="D334" s="14"/>
      <c r="E334" s="14"/>
      <c r="F334" s="14"/>
      <c r="G334" s="43">
        <f>G331</f>
        <v>1261804.4513071177</v>
      </c>
      <c r="H334" s="43">
        <f>H331</f>
        <v>2857680.873611138</v>
      </c>
      <c r="I334" s="43">
        <f>I331</f>
        <v>2612905.085876374</v>
      </c>
      <c r="J334" s="43">
        <f>$I331/$I329*J329</f>
        <v>3431647.890885758</v>
      </c>
      <c r="K334" s="43">
        <f aca="true" t="shared" si="68" ref="K334:P334">$I331/$I329*K329</f>
        <v>4244041.167655503</v>
      </c>
      <c r="L334" s="43">
        <f t="shared" si="68"/>
        <v>4878334.300373675</v>
      </c>
      <c r="M334" s="43">
        <f t="shared" si="68"/>
        <v>5916556.382819706</v>
      </c>
      <c r="N334" s="43">
        <f t="shared" si="68"/>
        <v>7431801.205014576</v>
      </c>
      <c r="O334" s="43">
        <f t="shared" si="68"/>
        <v>11042819.145599836</v>
      </c>
      <c r="P334" s="43">
        <f t="shared" si="68"/>
        <v>13459251.68623254</v>
      </c>
      <c r="Q334" s="43">
        <f>$I331/$I329*Q329</f>
        <v>17186441.255181473</v>
      </c>
      <c r="R334" s="44">
        <f>$I331/$I329*R329</f>
        <v>19406467.219695073</v>
      </c>
    </row>
    <row r="335" ht="13.5" thickBot="1"/>
    <row r="336" spans="1:18" ht="12.75">
      <c r="A336" s="2" t="s">
        <v>39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4"/>
    </row>
    <row r="337" spans="1:18" ht="12.75">
      <c r="A337" s="5"/>
      <c r="B337" s="6"/>
      <c r="C337" s="6"/>
      <c r="D337" s="6"/>
      <c r="E337" s="6">
        <v>1961</v>
      </c>
      <c r="F337" s="6">
        <v>1965</v>
      </c>
      <c r="G337" s="6">
        <v>1968</v>
      </c>
      <c r="H337" s="6">
        <v>1971</v>
      </c>
      <c r="I337" s="6">
        <v>1974</v>
      </c>
      <c r="J337" s="6">
        <v>1977</v>
      </c>
      <c r="K337" s="6">
        <v>1980</v>
      </c>
      <c r="L337" s="6">
        <v>1983</v>
      </c>
      <c r="M337" s="6">
        <v>1986</v>
      </c>
      <c r="N337" s="6">
        <v>1989</v>
      </c>
      <c r="O337" s="6">
        <v>1992</v>
      </c>
      <c r="P337" s="6">
        <v>1995</v>
      </c>
      <c r="Q337" s="6">
        <v>1998</v>
      </c>
      <c r="R337" s="7">
        <v>2001</v>
      </c>
    </row>
    <row r="338" spans="1:18" ht="12.75">
      <c r="A338" s="51" t="s">
        <v>40</v>
      </c>
      <c r="B338" s="52"/>
      <c r="C338" s="52"/>
      <c r="D338" s="52"/>
      <c r="E338" s="52" t="e">
        <f>E329</f>
        <v>#N/A</v>
      </c>
      <c r="F338" s="52" t="e">
        <f aca="true" t="shared" si="69" ref="F338:P339">F329</f>
        <v>#N/A</v>
      </c>
      <c r="G338" s="53">
        <f t="shared" si="69"/>
        <v>93466000000</v>
      </c>
      <c r="H338" s="53">
        <f t="shared" si="69"/>
        <v>121522000000</v>
      </c>
      <c r="I338" s="53">
        <f t="shared" si="69"/>
        <v>158432000000</v>
      </c>
      <c r="J338" s="53">
        <f t="shared" si="69"/>
        <v>208076000000</v>
      </c>
      <c r="K338" s="53">
        <f t="shared" si="69"/>
        <v>257335000000</v>
      </c>
      <c r="L338" s="53">
        <f t="shared" si="69"/>
        <v>295795000000</v>
      </c>
      <c r="M338" s="53">
        <f t="shared" si="69"/>
        <v>358747000000</v>
      </c>
      <c r="N338" s="53">
        <f t="shared" si="69"/>
        <v>450623000000</v>
      </c>
      <c r="O338" s="53">
        <f t="shared" si="69"/>
        <v>669575000000</v>
      </c>
      <c r="P338" s="53">
        <f t="shared" si="69"/>
        <v>816094000000</v>
      </c>
      <c r="Q338" s="55">
        <f>Q329</f>
        <v>1042090000000</v>
      </c>
      <c r="R338" s="54">
        <f>R329</f>
        <v>1176700000000</v>
      </c>
    </row>
    <row r="339" spans="1:18" ht="12.75">
      <c r="A339" s="35" t="s">
        <v>27</v>
      </c>
      <c r="B339" s="36"/>
      <c r="C339" s="36"/>
      <c r="D339" s="36"/>
      <c r="E339" s="36"/>
      <c r="F339" s="36"/>
      <c r="G339" s="36" t="str">
        <f t="shared" si="69"/>
        <v>1975, 358</v>
      </c>
      <c r="H339" s="36" t="str">
        <f t="shared" si="69"/>
        <v>1975, 358</v>
      </c>
      <c r="I339" s="36" t="str">
        <f t="shared" si="69"/>
        <v>1975, 358</v>
      </c>
      <c r="J339" s="47" t="str">
        <f t="shared" si="69"/>
        <v>1979, 301</v>
      </c>
      <c r="K339" s="47" t="str">
        <f t="shared" si="69"/>
        <v>1985, 315</v>
      </c>
      <c r="L339" s="47" t="str">
        <f t="shared" si="69"/>
        <v>1985, 315</v>
      </c>
      <c r="M339" s="47" t="str">
        <f t="shared" si="69"/>
        <v>1991, 345</v>
      </c>
      <c r="N339" s="47" t="str">
        <f t="shared" si="69"/>
        <v>1991, 345</v>
      </c>
      <c r="O339" s="47" t="str">
        <f t="shared" si="69"/>
        <v>1999, 332</v>
      </c>
      <c r="P339" s="47" t="str">
        <f t="shared" si="69"/>
        <v>1999, 332</v>
      </c>
      <c r="Q339" s="47" t="str">
        <f>Q330</f>
        <v>1999, 332</v>
      </c>
      <c r="R339" s="59" t="s">
        <v>50</v>
      </c>
    </row>
    <row r="340" spans="1:18" ht="12.75">
      <c r="A340" s="74" t="s">
        <v>36</v>
      </c>
      <c r="B340" s="75"/>
      <c r="C340" s="61"/>
      <c r="D340" s="61"/>
      <c r="E340" s="36"/>
      <c r="F340" s="36"/>
      <c r="G340" s="37">
        <f>I$316</f>
        <v>5359.917521501498</v>
      </c>
      <c r="H340" s="37">
        <f>J$316</f>
        <v>7705.721434033025</v>
      </c>
      <c r="I340" s="37">
        <f>K$316</f>
        <v>10502.321533850589</v>
      </c>
      <c r="J340" s="37">
        <f aca="true" t="shared" si="70" ref="J340:R340">L$316</f>
        <v>12301.981408039217</v>
      </c>
      <c r="K340" s="37">
        <f t="shared" si="70"/>
        <v>14291.257854709434</v>
      </c>
      <c r="L340" s="37">
        <f t="shared" si="70"/>
        <v>15169.986849952635</v>
      </c>
      <c r="M340" s="37">
        <f t="shared" si="70"/>
        <v>17127.64255176249</v>
      </c>
      <c r="N340" s="37">
        <f t="shared" si="70"/>
        <v>19478.199898124054</v>
      </c>
      <c r="O340" s="37">
        <f t="shared" si="70"/>
        <v>22652.886552129436</v>
      </c>
      <c r="P340" s="37">
        <f t="shared" si="70"/>
        <v>24357.167387018897</v>
      </c>
      <c r="Q340" s="37">
        <f t="shared" si="70"/>
        <v>21111.986925644538</v>
      </c>
      <c r="R340" s="38">
        <f t="shared" si="70"/>
        <v>30080.571397760865</v>
      </c>
    </row>
    <row r="341" spans="1:19" ht="12.75">
      <c r="A341" s="74"/>
      <c r="B341" s="75"/>
      <c r="C341" s="61"/>
      <c r="D341" s="61"/>
      <c r="E341" s="39"/>
      <c r="F341" s="39"/>
      <c r="G341" s="39">
        <f>G340*1000000</f>
        <v>5359917521.501498</v>
      </c>
      <c r="H341" s="39">
        <f aca="true" t="shared" si="71" ref="H341:R341">H340*1000000</f>
        <v>7705721434.033025</v>
      </c>
      <c r="I341" s="39">
        <f t="shared" si="71"/>
        <v>10502321533.85059</v>
      </c>
      <c r="J341" s="39">
        <f t="shared" si="71"/>
        <v>12301981408.039217</v>
      </c>
      <c r="K341" s="39">
        <f t="shared" si="71"/>
        <v>14291257854.709435</v>
      </c>
      <c r="L341" s="39">
        <f t="shared" si="71"/>
        <v>15169986849.952635</v>
      </c>
      <c r="M341" s="39">
        <f t="shared" si="71"/>
        <v>17127642551.76249</v>
      </c>
      <c r="N341" s="39">
        <f t="shared" si="71"/>
        <v>19478199898.124054</v>
      </c>
      <c r="O341" s="39">
        <f t="shared" si="71"/>
        <v>22652886552.129436</v>
      </c>
      <c r="P341" s="39">
        <f t="shared" si="71"/>
        <v>24357167387.018898</v>
      </c>
      <c r="Q341" s="39">
        <f t="shared" si="71"/>
        <v>21111986925.64454</v>
      </c>
      <c r="R341" s="41">
        <f t="shared" si="71"/>
        <v>30080571397.760864</v>
      </c>
      <c r="S341" t="s">
        <v>51</v>
      </c>
    </row>
    <row r="342" spans="1:19" ht="12.75">
      <c r="A342" s="5" t="s">
        <v>28</v>
      </c>
      <c r="B342" s="6"/>
      <c r="C342" s="6"/>
      <c r="D342" s="6"/>
      <c r="E342" s="6"/>
      <c r="F342" s="6"/>
      <c r="G342" s="40">
        <f>G340/G338</f>
        <v>5.7346174239846556E-08</v>
      </c>
      <c r="H342" s="40">
        <f>H340/H338</f>
        <v>6.341009392565153E-08</v>
      </c>
      <c r="I342" s="40">
        <f>I340/I338</f>
        <v>6.628914318982648E-08</v>
      </c>
      <c r="J342" s="40">
        <f aca="true" t="shared" si="72" ref="J342:P342">J340/J338</f>
        <v>5.912253891866057E-08</v>
      </c>
      <c r="K342" s="40">
        <f t="shared" si="72"/>
        <v>5.553561643270225E-08</v>
      </c>
      <c r="L342" s="40">
        <f t="shared" si="72"/>
        <v>5.128547423030354E-08</v>
      </c>
      <c r="M342" s="40">
        <f t="shared" si="72"/>
        <v>4.77429568798136E-08</v>
      </c>
      <c r="N342" s="40">
        <f t="shared" si="72"/>
        <v>4.3225045987719345E-08</v>
      </c>
      <c r="O342" s="40">
        <f t="shared" si="72"/>
        <v>3.383173886738519E-08</v>
      </c>
      <c r="P342" s="40">
        <f t="shared" si="72"/>
        <v>2.9846031691225394E-08</v>
      </c>
      <c r="Q342" s="40">
        <f>Q340/Q338</f>
        <v>2.0259274079632794E-08</v>
      </c>
      <c r="R342" s="42">
        <f>R340/R338</f>
        <v>2.5563500805439675E-08</v>
      </c>
      <c r="S342" s="48">
        <f>R342/$I342</f>
        <v>0.3856363135096752</v>
      </c>
    </row>
    <row r="343" spans="1:18" ht="13.5" thickBot="1">
      <c r="A343" s="11" t="s">
        <v>38</v>
      </c>
      <c r="B343" s="14"/>
      <c r="C343" s="14"/>
      <c r="D343" s="14"/>
      <c r="E343" s="14"/>
      <c r="F343" s="14"/>
      <c r="G343" s="43">
        <f>G340</f>
        <v>5359.917521501498</v>
      </c>
      <c r="H343" s="43">
        <f>H340</f>
        <v>7705.721434033025</v>
      </c>
      <c r="I343" s="43">
        <f>I340</f>
        <v>10502.321533850589</v>
      </c>
      <c r="J343" s="43">
        <f>$I340/$I338*J338</f>
        <v>13793.179758366336</v>
      </c>
      <c r="K343" s="43">
        <f aca="true" t="shared" si="73" ref="K343:P343">$I340/$I338*K338</f>
        <v>17058.516662754</v>
      </c>
      <c r="L343" s="43">
        <f t="shared" si="73"/>
        <v>19607.997109834723</v>
      </c>
      <c r="M343" s="43">
        <f t="shared" si="73"/>
        <v>23781.031251920682</v>
      </c>
      <c r="N343" s="43">
        <f t="shared" si="73"/>
        <v>29871.41257162918</v>
      </c>
      <c r="O343" s="43">
        <f t="shared" si="73"/>
        <v>44385.55305132807</v>
      </c>
      <c r="P343" s="43">
        <f t="shared" si="73"/>
        <v>54098.17202235825</v>
      </c>
      <c r="Q343" s="43">
        <f>$I340/$I338*Q338</f>
        <v>69079.25322668628</v>
      </c>
      <c r="R343" s="44">
        <f>$I340/$I338*R338</f>
        <v>78002.43479146883</v>
      </c>
    </row>
    <row r="344" ht="13.5" thickBot="1"/>
    <row r="345" spans="1:18" ht="12.75">
      <c r="A345" s="2" t="s">
        <v>34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4"/>
    </row>
    <row r="346" spans="1:18" ht="12.75">
      <c r="A346" s="5"/>
      <c r="B346" s="6"/>
      <c r="C346" s="6"/>
      <c r="D346" s="6"/>
      <c r="E346" s="6">
        <v>1961</v>
      </c>
      <c r="F346" s="6">
        <v>1965</v>
      </c>
      <c r="G346" s="6">
        <v>1968</v>
      </c>
      <c r="H346" s="6">
        <v>1971</v>
      </c>
      <c r="I346" s="6">
        <v>1974</v>
      </c>
      <c r="J346" s="6">
        <v>1977</v>
      </c>
      <c r="K346" s="6">
        <v>1980</v>
      </c>
      <c r="L346" s="6">
        <v>1983</v>
      </c>
      <c r="M346" s="6">
        <v>1986</v>
      </c>
      <c r="N346" s="6">
        <v>1989</v>
      </c>
      <c r="O346" s="6">
        <v>1992</v>
      </c>
      <c r="P346" s="6">
        <v>1995</v>
      </c>
      <c r="Q346" s="6">
        <v>1998</v>
      </c>
      <c r="R346" s="7">
        <v>2001</v>
      </c>
    </row>
    <row r="347" spans="1:18" ht="12.75">
      <c r="A347" s="51" t="s">
        <v>25</v>
      </c>
      <c r="B347" s="52"/>
      <c r="C347" s="52"/>
      <c r="D347" s="52"/>
      <c r="E347" s="52" t="e">
        <f>NA()</f>
        <v>#N/A</v>
      </c>
      <c r="F347" s="52" t="e">
        <f>NA()</f>
        <v>#N/A</v>
      </c>
      <c r="G347" s="52" t="e">
        <f>NA()</f>
        <v>#N/A</v>
      </c>
      <c r="H347" s="52" t="e">
        <f>NA()</f>
        <v>#N/A</v>
      </c>
      <c r="I347" s="53">
        <v>452205000000</v>
      </c>
      <c r="J347" s="53">
        <v>591473000000</v>
      </c>
      <c r="K347" s="53">
        <v>739431000000</v>
      </c>
      <c r="L347" s="53">
        <v>874843000000</v>
      </c>
      <c r="M347" s="55">
        <v>1050687000000</v>
      </c>
      <c r="N347" s="55">
        <v>1255458000000</v>
      </c>
      <c r="O347" s="55">
        <v>1718696000000</v>
      </c>
      <c r="P347" s="55">
        <v>2007441000000</v>
      </c>
      <c r="Q347" s="55">
        <v>2568050000000</v>
      </c>
      <c r="R347" s="54">
        <v>2870200000000</v>
      </c>
    </row>
    <row r="348" spans="1:18" ht="12.75">
      <c r="A348" s="35" t="s">
        <v>27</v>
      </c>
      <c r="B348" s="36"/>
      <c r="C348" s="36"/>
      <c r="D348" s="36"/>
      <c r="E348" s="36"/>
      <c r="F348" s="36"/>
      <c r="G348" s="36"/>
      <c r="H348" s="36"/>
      <c r="I348" s="36" t="s">
        <v>29</v>
      </c>
      <c r="J348" s="36" t="s">
        <v>29</v>
      </c>
      <c r="K348" s="36" t="s">
        <v>30</v>
      </c>
      <c r="L348" s="36" t="s">
        <v>30</v>
      </c>
      <c r="M348" s="36" t="s">
        <v>31</v>
      </c>
      <c r="N348" s="36" t="s">
        <v>31</v>
      </c>
      <c r="O348" s="36" t="s">
        <v>32</v>
      </c>
      <c r="P348" s="36" t="s">
        <v>32</v>
      </c>
      <c r="Q348" s="36" t="s">
        <v>48</v>
      </c>
      <c r="R348" s="59" t="s">
        <v>50</v>
      </c>
    </row>
    <row r="349" spans="1:18" ht="12.75">
      <c r="A349" s="74" t="s">
        <v>35</v>
      </c>
      <c r="B349" s="75"/>
      <c r="C349" s="61"/>
      <c r="D349" s="61"/>
      <c r="E349" s="36"/>
      <c r="F349" s="36"/>
      <c r="G349" s="36"/>
      <c r="H349" s="36"/>
      <c r="I349" s="37">
        <f>K$312</f>
        <v>2612905.085876374</v>
      </c>
      <c r="J349" s="37">
        <f aca="true" t="shared" si="74" ref="J349:R349">L$312</f>
        <v>3007280.495628304</v>
      </c>
      <c r="K349" s="37">
        <f t="shared" si="74"/>
        <v>4448773.382371905</v>
      </c>
      <c r="L349" s="37">
        <f t="shared" si="74"/>
        <v>5131312.537388219</v>
      </c>
      <c r="M349" s="37">
        <f t="shared" si="74"/>
        <v>7352536.30693966</v>
      </c>
      <c r="N349" s="37">
        <f t="shared" si="74"/>
        <v>17706076.225802325</v>
      </c>
      <c r="O349" s="37">
        <f t="shared" si="74"/>
        <v>8535648.319715725</v>
      </c>
      <c r="P349" s="37">
        <f t="shared" si="74"/>
        <v>8656560.655304149</v>
      </c>
      <c r="Q349" s="37">
        <f t="shared" si="74"/>
        <v>10583830.710797612</v>
      </c>
      <c r="R349" s="38">
        <f t="shared" si="74"/>
        <v>11846921.274601687</v>
      </c>
    </row>
    <row r="350" spans="1:18" ht="12.75">
      <c r="A350" s="74"/>
      <c r="B350" s="75"/>
      <c r="C350" s="61"/>
      <c r="D350" s="61"/>
      <c r="E350" s="39"/>
      <c r="F350" s="39"/>
      <c r="G350" s="39"/>
      <c r="H350" s="39"/>
      <c r="I350" s="39">
        <f>I349*10000</f>
        <v>26129050858.76374</v>
      </c>
      <c r="J350" s="39">
        <f aca="true" t="shared" si="75" ref="J350:R350">J349*10000</f>
        <v>30072804956.28304</v>
      </c>
      <c r="K350" s="39">
        <f t="shared" si="75"/>
        <v>44487733823.719055</v>
      </c>
      <c r="L350" s="39">
        <f t="shared" si="75"/>
        <v>51313125373.88219</v>
      </c>
      <c r="M350" s="39">
        <f t="shared" si="75"/>
        <v>73525363069.39659</v>
      </c>
      <c r="N350" s="39">
        <f t="shared" si="75"/>
        <v>177060762258.02325</v>
      </c>
      <c r="O350" s="39">
        <f t="shared" si="75"/>
        <v>85356483197.15726</v>
      </c>
      <c r="P350" s="39">
        <f t="shared" si="75"/>
        <v>86565606553.04149</v>
      </c>
      <c r="Q350" s="39">
        <f t="shared" si="75"/>
        <v>105838307107.97612</v>
      </c>
      <c r="R350" s="41">
        <f t="shared" si="75"/>
        <v>118469212746.01686</v>
      </c>
    </row>
    <row r="351" spans="1:18" ht="12.75">
      <c r="A351" s="5" t="s">
        <v>28</v>
      </c>
      <c r="B351" s="6"/>
      <c r="C351" s="6"/>
      <c r="D351" s="6"/>
      <c r="E351" s="6"/>
      <c r="F351" s="6"/>
      <c r="G351" s="6"/>
      <c r="H351" s="6"/>
      <c r="I351" s="40">
        <f>I349/I347</f>
        <v>5.778142846444365E-06</v>
      </c>
      <c r="J351" s="40">
        <f aca="true" t="shared" si="76" ref="J351:P351">J349/J347</f>
        <v>5.084391841433681E-06</v>
      </c>
      <c r="K351" s="40">
        <f t="shared" si="76"/>
        <v>6.016482109043177E-06</v>
      </c>
      <c r="L351" s="40">
        <f t="shared" si="76"/>
        <v>5.8654096076532805E-06</v>
      </c>
      <c r="M351" s="40">
        <f t="shared" si="76"/>
        <v>6.997836945674268E-06</v>
      </c>
      <c r="N351" s="40">
        <f t="shared" si="76"/>
        <v>1.4103280417028945E-05</v>
      </c>
      <c r="O351" s="40">
        <f t="shared" si="76"/>
        <v>4.966351419748301E-06</v>
      </c>
      <c r="P351" s="40">
        <f t="shared" si="76"/>
        <v>4.312236651191317E-06</v>
      </c>
      <c r="Q351" s="40">
        <f>Q349/Q347</f>
        <v>4.121349160178973E-06</v>
      </c>
      <c r="R351" s="42">
        <f>R349/R347</f>
        <v>4.12755949919925E-06</v>
      </c>
    </row>
    <row r="352" spans="1:18" ht="13.5" thickBot="1">
      <c r="A352" s="11" t="s">
        <v>33</v>
      </c>
      <c r="B352" s="14"/>
      <c r="C352" s="14"/>
      <c r="D352" s="14"/>
      <c r="E352" s="14"/>
      <c r="F352" s="14"/>
      <c r="G352" s="14"/>
      <c r="H352" s="14"/>
      <c r="I352" s="43">
        <f>I349</f>
        <v>2612905.085876374</v>
      </c>
      <c r="J352" s="43">
        <f aca="true" t="shared" si="77" ref="J352:P352">$I349/$I347*J347</f>
        <v>3417615.483814988</v>
      </c>
      <c r="K352" s="43">
        <f t="shared" si="77"/>
        <v>4272537.943089203</v>
      </c>
      <c r="L352" s="43">
        <f t="shared" si="77"/>
        <v>5054967.822211928</v>
      </c>
      <c r="M352" s="43">
        <f t="shared" si="77"/>
        <v>6071019.572902091</v>
      </c>
      <c r="N352" s="43">
        <f t="shared" si="77"/>
        <v>7254215.661711349</v>
      </c>
      <c r="O352" s="43">
        <f t="shared" si="77"/>
        <v>9930870.997612543</v>
      </c>
      <c r="P352" s="43">
        <f t="shared" si="77"/>
        <v>11599280.853809122</v>
      </c>
      <c r="Q352" s="43">
        <f>$I349/$I347*Q347</f>
        <v>14838559.736811452</v>
      </c>
      <c r="R352" s="44">
        <f>$I349/$I347*R347</f>
        <v>16584425.597864617</v>
      </c>
    </row>
    <row r="353" ht="13.5" thickBot="1"/>
    <row r="354" spans="1:18" ht="12.75">
      <c r="A354" s="2" t="s">
        <v>26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4"/>
    </row>
    <row r="355" spans="1:18" ht="12.75">
      <c r="A355" s="5"/>
      <c r="B355" s="6"/>
      <c r="C355" s="6"/>
      <c r="D355" s="6"/>
      <c r="E355" s="6">
        <v>1961</v>
      </c>
      <c r="F355" s="6">
        <v>1965</v>
      </c>
      <c r="G355" s="6">
        <v>1968</v>
      </c>
      <c r="H355" s="6">
        <v>1971</v>
      </c>
      <c r="I355" s="6">
        <v>1974</v>
      </c>
      <c r="J355" s="6">
        <v>1977</v>
      </c>
      <c r="K355" s="6">
        <v>1980</v>
      </c>
      <c r="L355" s="6">
        <v>1983</v>
      </c>
      <c r="M355" s="6">
        <v>1986</v>
      </c>
      <c r="N355" s="6">
        <v>1989</v>
      </c>
      <c r="O355" s="6">
        <v>1992</v>
      </c>
      <c r="P355" s="6">
        <v>1995</v>
      </c>
      <c r="Q355" s="6">
        <v>1998</v>
      </c>
      <c r="R355" s="7">
        <v>2001</v>
      </c>
    </row>
    <row r="356" spans="1:18" ht="12.75">
      <c r="A356" s="51" t="s">
        <v>25</v>
      </c>
      <c r="B356" s="52"/>
      <c r="C356" s="52"/>
      <c r="D356" s="52"/>
      <c r="E356" s="52" t="e">
        <f>NA()</f>
        <v>#N/A</v>
      </c>
      <c r="F356" s="52" t="e">
        <f>NA()</f>
        <v>#N/A</v>
      </c>
      <c r="G356" s="52" t="e">
        <f>NA()</f>
        <v>#N/A</v>
      </c>
      <c r="H356" s="52" t="e">
        <f>NA()</f>
        <v>#N/A</v>
      </c>
      <c r="I356" s="53">
        <v>452205000000</v>
      </c>
      <c r="J356" s="53">
        <v>591473000000</v>
      </c>
      <c r="K356" s="53">
        <v>739431000000</v>
      </c>
      <c r="L356" s="53">
        <v>874843000000</v>
      </c>
      <c r="M356" s="55">
        <v>1050687000000</v>
      </c>
      <c r="N356" s="55">
        <v>1255458000000</v>
      </c>
      <c r="O356" s="55">
        <v>1718696000000</v>
      </c>
      <c r="P356" s="55">
        <v>2007441000000</v>
      </c>
      <c r="Q356" s="55">
        <f>Q347</f>
        <v>2568050000000</v>
      </c>
      <c r="R356" s="54">
        <f>R347</f>
        <v>2870200000000</v>
      </c>
    </row>
    <row r="357" spans="1:19" ht="12.75">
      <c r="A357" s="35" t="s">
        <v>27</v>
      </c>
      <c r="B357" s="36"/>
      <c r="C357" s="36"/>
      <c r="D357" s="36"/>
      <c r="E357" s="36"/>
      <c r="F357" s="36"/>
      <c r="G357" s="36"/>
      <c r="H357" s="36"/>
      <c r="I357" s="36" t="s">
        <v>29</v>
      </c>
      <c r="J357" s="36" t="s">
        <v>29</v>
      </c>
      <c r="K357" s="36" t="s">
        <v>30</v>
      </c>
      <c r="L357" s="36" t="s">
        <v>30</v>
      </c>
      <c r="M357" s="36" t="s">
        <v>31</v>
      </c>
      <c r="N357" s="36" t="s">
        <v>31</v>
      </c>
      <c r="O357" s="36" t="s">
        <v>32</v>
      </c>
      <c r="P357" s="36" t="s">
        <v>32</v>
      </c>
      <c r="Q357" s="36" t="s">
        <v>48</v>
      </c>
      <c r="R357" s="59" t="s">
        <v>50</v>
      </c>
      <c r="S357" t="s">
        <v>52</v>
      </c>
    </row>
    <row r="358" spans="1:19" ht="12.75">
      <c r="A358" s="74" t="s">
        <v>36</v>
      </c>
      <c r="B358" s="75"/>
      <c r="C358" s="61"/>
      <c r="D358" s="61"/>
      <c r="E358" s="36"/>
      <c r="F358" s="36"/>
      <c r="G358" s="36"/>
      <c r="H358" s="36"/>
      <c r="I358" s="37">
        <f>K$316</f>
        <v>10502.321533850589</v>
      </c>
      <c r="J358" s="37">
        <f aca="true" t="shared" si="78" ref="J358:R358">L$316</f>
        <v>12301.981408039217</v>
      </c>
      <c r="K358" s="37">
        <f t="shared" si="78"/>
        <v>14291.257854709434</v>
      </c>
      <c r="L358" s="37">
        <f t="shared" si="78"/>
        <v>15169.986849952635</v>
      </c>
      <c r="M358" s="37">
        <f t="shared" si="78"/>
        <v>17127.64255176249</v>
      </c>
      <c r="N358" s="37">
        <f t="shared" si="78"/>
        <v>19478.199898124054</v>
      </c>
      <c r="O358" s="37">
        <f t="shared" si="78"/>
        <v>22652.886552129436</v>
      </c>
      <c r="P358" s="37">
        <f t="shared" si="78"/>
        <v>24357.167387018897</v>
      </c>
      <c r="Q358" s="37">
        <f t="shared" si="78"/>
        <v>21111.986925644538</v>
      </c>
      <c r="R358" s="38">
        <f t="shared" si="78"/>
        <v>30080.571397760865</v>
      </c>
      <c r="S358" s="56">
        <f>$I358/$I356*R356</f>
        <v>66659.50899803842</v>
      </c>
    </row>
    <row r="359" spans="1:19" ht="12.75">
      <c r="A359" s="74"/>
      <c r="B359" s="75"/>
      <c r="C359" s="61"/>
      <c r="D359" s="61"/>
      <c r="E359" s="39"/>
      <c r="F359" s="39"/>
      <c r="G359" s="39"/>
      <c r="H359" s="39"/>
      <c r="I359" s="39">
        <f>I358*1000000</f>
        <v>10502321533.85059</v>
      </c>
      <c r="J359" s="39">
        <f aca="true" t="shared" si="79" ref="J359:R359">J358*1000000</f>
        <v>12301981408.039217</v>
      </c>
      <c r="K359" s="39">
        <f t="shared" si="79"/>
        <v>14291257854.709435</v>
      </c>
      <c r="L359" s="39">
        <f t="shared" si="79"/>
        <v>15169986849.952635</v>
      </c>
      <c r="M359" s="39">
        <f t="shared" si="79"/>
        <v>17127642551.76249</v>
      </c>
      <c r="N359" s="39">
        <f t="shared" si="79"/>
        <v>19478199898.124054</v>
      </c>
      <c r="O359" s="39">
        <f t="shared" si="79"/>
        <v>22652886552.129436</v>
      </c>
      <c r="P359" s="39">
        <f t="shared" si="79"/>
        <v>24357167387.018898</v>
      </c>
      <c r="Q359" s="39">
        <f t="shared" si="79"/>
        <v>21111986925.64454</v>
      </c>
      <c r="R359" s="41">
        <f t="shared" si="79"/>
        <v>30080571397.760864</v>
      </c>
      <c r="S359" t="s">
        <v>51</v>
      </c>
    </row>
    <row r="360" spans="1:19" ht="12.75">
      <c r="A360" s="5" t="s">
        <v>28</v>
      </c>
      <c r="B360" s="6"/>
      <c r="C360" s="6"/>
      <c r="D360" s="6"/>
      <c r="E360" s="6"/>
      <c r="F360" s="6"/>
      <c r="G360" s="6"/>
      <c r="H360" s="6"/>
      <c r="I360" s="40">
        <f>I358/I356</f>
        <v>2.3224691310026624E-08</v>
      </c>
      <c r="J360" s="40">
        <f aca="true" t="shared" si="80" ref="J360:P360">J358/J356</f>
        <v>2.0798889227469753E-08</v>
      </c>
      <c r="K360" s="40">
        <f t="shared" si="80"/>
        <v>1.9327371796299364E-08</v>
      </c>
      <c r="L360" s="40">
        <f t="shared" si="80"/>
        <v>1.7340239162858517E-08</v>
      </c>
      <c r="M360" s="40">
        <f t="shared" si="80"/>
        <v>1.6301374768853604E-08</v>
      </c>
      <c r="N360" s="40">
        <f t="shared" si="80"/>
        <v>1.5514816025804172E-08</v>
      </c>
      <c r="O360" s="40">
        <f t="shared" si="80"/>
        <v>1.3180275366981383E-08</v>
      </c>
      <c r="P360" s="40">
        <f t="shared" si="80"/>
        <v>1.2133441225430235E-08</v>
      </c>
      <c r="Q360" s="40">
        <f>Q358/Q356</f>
        <v>8.221018642800777E-09</v>
      </c>
      <c r="R360" s="42">
        <f>R358/R356</f>
        <v>1.0480304995387383E-08</v>
      </c>
      <c r="S360" s="48">
        <f>R360/$I360</f>
        <v>0.45125702018966335</v>
      </c>
    </row>
    <row r="361" spans="1:18" ht="13.5" thickBot="1">
      <c r="A361" s="11" t="s">
        <v>33</v>
      </c>
      <c r="B361" s="14"/>
      <c r="C361" s="14"/>
      <c r="D361" s="14"/>
      <c r="E361" s="14"/>
      <c r="F361" s="14"/>
      <c r="G361" s="14"/>
      <c r="H361" s="14"/>
      <c r="I361" s="43">
        <f>I358</f>
        <v>10502.321533850589</v>
      </c>
      <c r="J361" s="43">
        <f aca="true" t="shared" si="81" ref="J361:P361">$I358/$I356*J356</f>
        <v>13736.777843215377</v>
      </c>
      <c r="K361" s="43">
        <f t="shared" si="81"/>
        <v>17173.056720064298</v>
      </c>
      <c r="L361" s="43">
        <f t="shared" si="81"/>
        <v>20317.958619737623</v>
      </c>
      <c r="M361" s="43">
        <f t="shared" si="81"/>
        <v>24401.881238457943</v>
      </c>
      <c r="N361" s="43">
        <f t="shared" si="81"/>
        <v>29157.624502703406</v>
      </c>
      <c r="O361" s="43">
        <f t="shared" si="81"/>
        <v>39916.18405577752</v>
      </c>
      <c r="P361" s="43">
        <f t="shared" si="81"/>
        <v>46622.19754809116</v>
      </c>
      <c r="Q361" s="43">
        <f>$I358/$I356*Q356</f>
        <v>59642.16851871387</v>
      </c>
      <c r="R361" s="44">
        <f>$I358/$I356*R356</f>
        <v>66659.50899803842</v>
      </c>
    </row>
  </sheetData>
  <mergeCells count="5">
    <mergeCell ref="A1:E1"/>
    <mergeCell ref="A358:B359"/>
    <mergeCell ref="A349:B350"/>
    <mergeCell ref="A331:B332"/>
    <mergeCell ref="A340:B341"/>
  </mergeCells>
  <hyperlinks>
    <hyperlink ref="Q263" r:id="rId1" display="https://www-ec.destatis.de/csp/shop/sfg/bpm.html.cms.cBroker.cls?cmspath=struktur,vollanzeige.csp&amp;ID=1018140"/>
    <hyperlink ref="R330" r:id="rId2" display="Deutsche Bundesbank Monatsbericht Juni 2002 S. 13*"/>
    <hyperlink ref="R348" r:id="rId3" display="Deutsche Bundesbank Monatsbericht Juni 2002 S. 13*"/>
    <hyperlink ref="R339" r:id="rId4" display="Deutsche Bundesbank Monatsbericht Juni 2002 S. 13*"/>
    <hyperlink ref="R357" r:id="rId5" display="Deutsche Bundesbank Monatsbericht Juni 2002 S. 13*"/>
    <hyperlink ref="R283" r:id="rId6" display="https://www-ec.destatis.de/csp/shop/sfg/bpm.html.cms.cBroker.cls?cmspath=struktur,vollanzeige.csp&amp;ID=1023646"/>
  </hyperlinks>
  <printOptions/>
  <pageMargins left="0.75" right="0.75" top="1" bottom="1" header="0.4921259845" footer="0.4921259845"/>
  <pageSetup fitToWidth="3" fitToHeight="1" horizontalDpi="300" verticalDpi="300" orientation="landscape" paperSize="9" scale="39"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Rechtsanwalt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Harald Wozniewski</dc:creator>
  <cp:keywords/>
  <dc:description/>
  <cp:lastModifiedBy>Dr. Harald Wozniewski</cp:lastModifiedBy>
  <cp:lastPrinted>2005-02-12T12:50:24Z</cp:lastPrinted>
  <dcterms:created xsi:type="dcterms:W3CDTF">2002-03-15T12:02:25Z</dcterms:created>
  <dcterms:modified xsi:type="dcterms:W3CDTF">2009-05-28T15:44:22Z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