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8250" tabRatio="594" activeTab="5"/>
  </bookViews>
  <sheets>
    <sheet name="Tabelle1" sheetId="1" r:id="rId1"/>
    <sheet name="Diagramm1" sheetId="2" r:id="rId2"/>
    <sheet name="M1 95%" sheetId="3" r:id="rId3"/>
    <sheet name="M1 1000" sheetId="4" r:id="rId4"/>
    <sheet name="M3 95%" sheetId="5" r:id="rId5"/>
    <sheet name="M3 1000" sheetId="6" r:id="rId6"/>
  </sheets>
  <definedNames/>
  <calcPr fullCalcOnLoad="1"/>
</workbook>
</file>

<file path=xl/comments1.xml><?xml version="1.0" encoding="utf-8"?>
<comments xmlns="http://schemas.openxmlformats.org/spreadsheetml/2006/main">
  <authors>
    <author>Dr. Harald Wozniewski</author>
  </authors>
  <commentList>
    <comment ref="A1" authorId="0">
      <text>
        <r>
          <rPr>
            <b/>
            <sz val="8"/>
            <rFont val="Tahoma"/>
            <family val="0"/>
          </rPr>
          <t>Dr. Harald Wozniewski:</t>
        </r>
        <r>
          <rPr>
            <sz val="8"/>
            <rFont val="Tahoma"/>
            <family val="0"/>
          </rPr>
          <t xml:space="preserve">
Bei den Gesamtbeträgen der Einkünfte handelt es sich um die Einkünfte im steuerlichen Sinn 
VOR ABZUG VON  
Sonderausgaben,
außergewöhnlichen Belastungen, 
Kinderfreibeträgen und 
Einkommensteuer</t>
        </r>
      </text>
    </comment>
  </commentList>
</comments>
</file>

<file path=xl/sharedStrings.xml><?xml version="1.0" encoding="utf-8"?>
<sst xmlns="http://schemas.openxmlformats.org/spreadsheetml/2006/main" count="118" uniqueCount="49">
  <si>
    <t>Gesamtbetrag der Einkünfte bis ...</t>
  </si>
  <si>
    <t>mehr</t>
  </si>
  <si>
    <t>Summen</t>
  </si>
  <si>
    <t>DM je Stpfl.</t>
  </si>
  <si>
    <t>Stpfl.</t>
  </si>
  <si>
    <t>1000 DM</t>
  </si>
  <si>
    <t>Die nächsten 100.000 Reichen</t>
  </si>
  <si>
    <t>Die nächsten 10.000 Reichen</t>
  </si>
  <si>
    <t>Die 1.000 Reichsten</t>
  </si>
  <si>
    <t>Die nächsten 1.000.000 Reichen</t>
  </si>
  <si>
    <t>Die übrige Bevölkerung</t>
  </si>
  <si>
    <t>Einkünfte</t>
  </si>
  <si>
    <t>Stunden/Jahr</t>
  </si>
  <si>
    <t>Stundenlohn 230 Tage im Jahr zu je 8 Stunden sind</t>
  </si>
  <si>
    <t>S. 51 (Seite der Statistik)</t>
  </si>
  <si>
    <t>S. 45</t>
  </si>
  <si>
    <t>(Quelle: Statistisches Bundesamt, Finanzen und Steuern, Fachserie 14, Reihe 7.1, Einkommensteuer, 1961 - 1995)</t>
  </si>
  <si>
    <t>S. 29</t>
  </si>
  <si>
    <t>S. 18, 20</t>
  </si>
  <si>
    <t>S. 20, 22</t>
  </si>
  <si>
    <t>S. 22, 24</t>
  </si>
  <si>
    <t>S. 26</t>
  </si>
  <si>
    <t>S. 22, 26</t>
  </si>
  <si>
    <t>S. 22, 25</t>
  </si>
  <si>
    <t>S. 24, 30</t>
  </si>
  <si>
    <t>S. 16, 26</t>
  </si>
  <si>
    <t>S. 14, 28</t>
  </si>
  <si>
    <t>Die Einkommensentwicklung in Deutschland nach offiziellen Zahlen der Lohn- und Einkommensteuerstatistiken von 1961 bis 1995</t>
  </si>
  <si>
    <t>M3</t>
  </si>
  <si>
    <t>Anteil der "übrigen Bevölkerung" an M3</t>
  </si>
  <si>
    <t>Quelle: Statistisches Bundesamt, Statistisches Jahruch (Jahr, Seite):</t>
  </si>
  <si>
    <t>Anteil</t>
  </si>
  <si>
    <t>1980, 293</t>
  </si>
  <si>
    <t>1986, 310</t>
  </si>
  <si>
    <t>1991, 345</t>
  </si>
  <si>
    <t>1998, 333</t>
  </si>
  <si>
    <t>Einkommensentwicklung parallel zu M3</t>
  </si>
  <si>
    <t>Anteil der "1000 Reichsten" an M3</t>
  </si>
  <si>
    <t>Durchschnittseinkünfte in der "1000 Reichsten"  für das Diagramm  optisch angepasst (vervielfacht)</t>
  </si>
  <si>
    <t>Durchschnittseinkünfte von rund 95% der Bevölkerung für das Diagramm  optisch angepasst (vervielfacht)</t>
  </si>
  <si>
    <t>Anteil der "1000 Reichsten" an M1</t>
  </si>
  <si>
    <t>Einkommensentwicklung parallel zu M1</t>
  </si>
  <si>
    <t>Anteil der "übrigen Bevölkerung" an M1</t>
  </si>
  <si>
    <t>M1</t>
  </si>
  <si>
    <t>1975, 358</t>
  </si>
  <si>
    <t>1985, 315</t>
  </si>
  <si>
    <t>1979, 301</t>
  </si>
  <si>
    <t>1999, 332</t>
  </si>
  <si>
    <t>Vergleich 1995 zu 1974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</si>
</sst>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\ _€_-;\-* #,##0.0\ _€_-;_-* &quot;-&quot;??\ _€_-;_-@_-"/>
    <numFmt numFmtId="173" formatCode="_-* #,##0\ _€_-;\-* #,##0\ _€_-;_-* &quot;-&quot;??\ _€_-;_-@_-"/>
    <numFmt numFmtId="174" formatCode="yyyy\-mm\-dd"/>
    <numFmt numFmtId="175" formatCode="0.0%"/>
    <numFmt numFmtId="176" formatCode="0.000%"/>
    <numFmt numFmtId="177" formatCode="0.0000%"/>
    <numFmt numFmtId="178" formatCode="0.00000%"/>
    <numFmt numFmtId="179" formatCode="0.000000%"/>
    <numFmt numFmtId="180" formatCode="0.0000000%"/>
    <numFmt numFmtId="181" formatCode="0.00000000%"/>
    <numFmt numFmtId="182" formatCode="0.000000000%"/>
  </numFmts>
  <fonts count="11">
    <font>
      <sz val="10"/>
      <name val="Arial"/>
      <family val="0"/>
    </font>
    <font>
      <sz val="10.5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8.75"/>
      <name val="Arial"/>
      <family val="0"/>
    </font>
    <font>
      <b/>
      <sz val="10.75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73" fontId="0" fillId="0" borderId="0" xfId="15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3" fontId="0" fillId="0" borderId="4" xfId="0" applyNumberFormat="1" applyBorder="1" applyAlignment="1">
      <alignment/>
    </xf>
    <xf numFmtId="173" fontId="0" fillId="0" borderId="0" xfId="0" applyNumberFormat="1" applyBorder="1" applyAlignment="1">
      <alignment/>
    </xf>
    <xf numFmtId="173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173" fontId="0" fillId="0" borderId="7" xfId="0" applyNumberFormat="1" applyBorder="1" applyAlignment="1">
      <alignment/>
    </xf>
    <xf numFmtId="173" fontId="0" fillId="0" borderId="8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173" fontId="0" fillId="0" borderId="0" xfId="15" applyNumberFormat="1" applyBorder="1" applyAlignment="1">
      <alignment/>
    </xf>
    <xf numFmtId="173" fontId="0" fillId="0" borderId="13" xfId="0" applyNumberFormat="1" applyBorder="1" applyAlignment="1">
      <alignment/>
    </xf>
    <xf numFmtId="3" fontId="0" fillId="0" borderId="0" xfId="0" applyNumberFormat="1" applyBorder="1" applyAlignment="1">
      <alignment/>
    </xf>
    <xf numFmtId="173" fontId="0" fillId="0" borderId="12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173" fontId="0" fillId="0" borderId="0" xfId="15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10" xfId="0" applyFont="1" applyBorder="1" applyAlignment="1">
      <alignment/>
    </xf>
    <xf numFmtId="3" fontId="0" fillId="0" borderId="0" xfId="15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0" fillId="0" borderId="5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81" fontId="0" fillId="0" borderId="0" xfId="17" applyNumberFormat="1" applyBorder="1" applyAlignment="1">
      <alignment/>
    </xf>
    <xf numFmtId="3" fontId="2" fillId="0" borderId="5" xfId="0" applyNumberFormat="1" applyFont="1" applyBorder="1" applyAlignment="1">
      <alignment/>
    </xf>
    <xf numFmtId="181" fontId="0" fillId="0" borderId="5" xfId="17" applyNumberFormat="1" applyBorder="1" applyAlignment="1">
      <alignment/>
    </xf>
    <xf numFmtId="173" fontId="0" fillId="0" borderId="7" xfId="0" applyNumberFormat="1" applyFont="1" applyBorder="1" applyAlignment="1">
      <alignment/>
    </xf>
    <xf numFmtId="173" fontId="0" fillId="0" borderId="8" xfId="0" applyNumberFormat="1" applyFont="1" applyBorder="1" applyAlignment="1">
      <alignment/>
    </xf>
    <xf numFmtId="181" fontId="0" fillId="0" borderId="0" xfId="0" applyNumberFormat="1" applyAlignment="1">
      <alignment/>
    </xf>
    <xf numFmtId="9" fontId="0" fillId="0" borderId="15" xfId="17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0" fontId="0" fillId="0" borderId="0" xfId="17" applyNumberForma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Die Einkommensentwicklung in Deutschland nach offiziellen Zahlen 
der Lohn- und Einkommensteuerstatistiken von 1961 bis 1995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25"/>
          <c:w val="0.835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Tabelle1!$A$26</c:f>
              <c:strCache>
                <c:ptCount val="1"/>
                <c:pt idx="0">
                  <c:v>Die 1.000 Reichsten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Tabelle1!$C$25:$N$25</c:f>
              <c:numCache>
                <c:ptCount val="12"/>
                <c:pt idx="0">
                  <c:v>1961</c:v>
                </c:pt>
                <c:pt idx="1">
                  <c:v>1965</c:v>
                </c:pt>
                <c:pt idx="2">
                  <c:v>1968</c:v>
                </c:pt>
                <c:pt idx="3">
                  <c:v>1971</c:v>
                </c:pt>
                <c:pt idx="4">
                  <c:v>1974</c:v>
                </c:pt>
                <c:pt idx="5">
                  <c:v>1977</c:v>
                </c:pt>
                <c:pt idx="6">
                  <c:v>1980</c:v>
                </c:pt>
                <c:pt idx="7">
                  <c:v>1983</c:v>
                </c:pt>
                <c:pt idx="8">
                  <c:v>1986</c:v>
                </c:pt>
                <c:pt idx="9">
                  <c:v>1989</c:v>
                </c:pt>
                <c:pt idx="10">
                  <c:v>1992</c:v>
                </c:pt>
                <c:pt idx="11">
                  <c:v>1995</c:v>
                </c:pt>
              </c:numCache>
            </c:numRef>
          </c:cat>
          <c:val>
            <c:numRef>
              <c:f>Tabelle1!$C$26:$N$26</c:f>
              <c:numCache>
                <c:ptCount val="12"/>
                <c:pt idx="0">
                  <c:v>2343125</c:v>
                </c:pt>
                <c:pt idx="1">
                  <c:v>2252666.6666666665</c:v>
                </c:pt>
                <c:pt idx="2">
                  <c:v>2467875</c:v>
                </c:pt>
                <c:pt idx="3">
                  <c:v>5589137.983034872</c:v>
                </c:pt>
                <c:pt idx="4">
                  <c:v>5110398.154109589</c:v>
                </c:pt>
                <c:pt idx="5">
                  <c:v>5881729.411764706</c:v>
                </c:pt>
                <c:pt idx="6">
                  <c:v>8701044.444444444</c:v>
                </c:pt>
                <c:pt idx="7">
                  <c:v>10035975</c:v>
                </c:pt>
                <c:pt idx="8">
                  <c:v>14380311.085201794</c:v>
                </c:pt>
                <c:pt idx="9">
                  <c:v>34630075.06471096</c:v>
                </c:pt>
                <c:pt idx="10">
                  <c:v>16694277.053149607</c:v>
                </c:pt>
                <c:pt idx="11">
                  <c:v>16930761.026463512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Tabelle1!$A$27</c:f>
              <c:strCache>
                <c:ptCount val="1"/>
                <c:pt idx="0">
                  <c:v>Die nächsten 10.000 Reichen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Tabelle1!$C$25:$N$25</c:f>
              <c:numCache>
                <c:ptCount val="12"/>
                <c:pt idx="0">
                  <c:v>1961</c:v>
                </c:pt>
                <c:pt idx="1">
                  <c:v>1965</c:v>
                </c:pt>
                <c:pt idx="2">
                  <c:v>1968</c:v>
                </c:pt>
                <c:pt idx="3">
                  <c:v>1971</c:v>
                </c:pt>
                <c:pt idx="4">
                  <c:v>1974</c:v>
                </c:pt>
                <c:pt idx="5">
                  <c:v>1977</c:v>
                </c:pt>
                <c:pt idx="6">
                  <c:v>1980</c:v>
                </c:pt>
                <c:pt idx="7">
                  <c:v>1983</c:v>
                </c:pt>
                <c:pt idx="8">
                  <c:v>1986</c:v>
                </c:pt>
                <c:pt idx="9">
                  <c:v>1989</c:v>
                </c:pt>
                <c:pt idx="10">
                  <c:v>1992</c:v>
                </c:pt>
                <c:pt idx="11">
                  <c:v>1995</c:v>
                </c:pt>
              </c:numCache>
            </c:numRef>
          </c:cat>
          <c:val>
            <c:numRef>
              <c:f>Tabelle1!$C$27:$N$27</c:f>
              <c:numCache>
                <c:ptCount val="12"/>
                <c:pt idx="0">
                  <c:v>576318.8402061856</c:v>
                </c:pt>
                <c:pt idx="1">
                  <c:v>771489.0167865708</c:v>
                </c:pt>
                <c:pt idx="2">
                  <c:v>792530.0862068966</c:v>
                </c:pt>
                <c:pt idx="3">
                  <c:v>961749.3727808503</c:v>
                </c:pt>
                <c:pt idx="4">
                  <c:v>997770.0424321782</c:v>
                </c:pt>
                <c:pt idx="5">
                  <c:v>1229734.2209856915</c:v>
                </c:pt>
                <c:pt idx="6">
                  <c:v>1670303.0209933438</c:v>
                </c:pt>
                <c:pt idx="7">
                  <c:v>1734950.4146919434</c:v>
                </c:pt>
                <c:pt idx="8">
                  <c:v>2150274.9090982615</c:v>
                </c:pt>
                <c:pt idx="9">
                  <c:v>2720263.5087462957</c:v>
                </c:pt>
                <c:pt idx="10">
                  <c:v>3108169.4745972236</c:v>
                </c:pt>
                <c:pt idx="11">
                  <c:v>2694409.150609799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Tabelle1!$A$28</c:f>
              <c:strCache>
                <c:ptCount val="1"/>
                <c:pt idx="0">
                  <c:v>Die nächsten 100.000 Reichen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Tabelle1!$C$25:$N$25</c:f>
              <c:numCache>
                <c:ptCount val="12"/>
                <c:pt idx="0">
                  <c:v>1961</c:v>
                </c:pt>
                <c:pt idx="1">
                  <c:v>1965</c:v>
                </c:pt>
                <c:pt idx="2">
                  <c:v>1968</c:v>
                </c:pt>
                <c:pt idx="3">
                  <c:v>1971</c:v>
                </c:pt>
                <c:pt idx="4">
                  <c:v>1974</c:v>
                </c:pt>
                <c:pt idx="5">
                  <c:v>1977</c:v>
                </c:pt>
                <c:pt idx="6">
                  <c:v>1980</c:v>
                </c:pt>
                <c:pt idx="7">
                  <c:v>1983</c:v>
                </c:pt>
                <c:pt idx="8">
                  <c:v>1986</c:v>
                </c:pt>
                <c:pt idx="9">
                  <c:v>1989</c:v>
                </c:pt>
                <c:pt idx="10">
                  <c:v>1992</c:v>
                </c:pt>
                <c:pt idx="11">
                  <c:v>1995</c:v>
                </c:pt>
              </c:numCache>
            </c:numRef>
          </c:cat>
          <c:val>
            <c:numRef>
              <c:f>Tabelle1!$C$28:$N$28</c:f>
              <c:numCache>
                <c:ptCount val="12"/>
                <c:pt idx="0">
                  <c:v>101163.96097514057</c:v>
                </c:pt>
                <c:pt idx="1">
                  <c:v>147107.64895849917</c:v>
                </c:pt>
                <c:pt idx="2">
                  <c:v>165121.24137931035</c:v>
                </c:pt>
                <c:pt idx="3">
                  <c:v>204703.31203885315</c:v>
                </c:pt>
                <c:pt idx="4">
                  <c:v>238128.4388619127</c:v>
                </c:pt>
                <c:pt idx="5">
                  <c:v>301433.5787923897</c:v>
                </c:pt>
                <c:pt idx="6">
                  <c:v>398203.97856298677</c:v>
                </c:pt>
                <c:pt idx="7">
                  <c:v>395912.65121570765</c:v>
                </c:pt>
                <c:pt idx="8">
                  <c:v>452698.06587267364</c:v>
                </c:pt>
                <c:pt idx="9">
                  <c:v>529472.32628608</c:v>
                </c:pt>
                <c:pt idx="10">
                  <c:v>662791.4521743599</c:v>
                </c:pt>
                <c:pt idx="11">
                  <c:v>597944.3978898402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Tabelle1!$A$29</c:f>
              <c:strCache>
                <c:ptCount val="1"/>
                <c:pt idx="0">
                  <c:v>Die nächsten 1.000.000 Reichen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Tabelle1!$C$25:$N$25</c:f>
              <c:numCache>
                <c:ptCount val="12"/>
                <c:pt idx="0">
                  <c:v>1961</c:v>
                </c:pt>
                <c:pt idx="1">
                  <c:v>1965</c:v>
                </c:pt>
                <c:pt idx="2">
                  <c:v>1968</c:v>
                </c:pt>
                <c:pt idx="3">
                  <c:v>1971</c:v>
                </c:pt>
                <c:pt idx="4">
                  <c:v>1974</c:v>
                </c:pt>
                <c:pt idx="5">
                  <c:v>1977</c:v>
                </c:pt>
                <c:pt idx="6">
                  <c:v>1980</c:v>
                </c:pt>
                <c:pt idx="7">
                  <c:v>1983</c:v>
                </c:pt>
                <c:pt idx="8">
                  <c:v>1986</c:v>
                </c:pt>
                <c:pt idx="9">
                  <c:v>1989</c:v>
                </c:pt>
                <c:pt idx="10">
                  <c:v>1992</c:v>
                </c:pt>
                <c:pt idx="11">
                  <c:v>1995</c:v>
                </c:pt>
              </c:numCache>
            </c:numRef>
          </c:cat>
          <c:val>
            <c:numRef>
              <c:f>Tabelle1!$C$29:$N$29</c:f>
              <c:numCache>
                <c:ptCount val="12"/>
                <c:pt idx="0">
                  <c:v>21327.79998763077</c:v>
                </c:pt>
                <c:pt idx="1">
                  <c:v>34483.54644025709</c:v>
                </c:pt>
                <c:pt idx="2">
                  <c:v>23869.609636980385</c:v>
                </c:pt>
                <c:pt idx="3">
                  <c:v>45657.40352989985</c:v>
                </c:pt>
                <c:pt idx="4">
                  <c:v>54402.968211947424</c:v>
                </c:pt>
                <c:pt idx="5">
                  <c:v>66845.77365240268</c:v>
                </c:pt>
                <c:pt idx="6">
                  <c:v>86925.12174457278</c:v>
                </c:pt>
                <c:pt idx="7">
                  <c:v>96598.50585692884</c:v>
                </c:pt>
                <c:pt idx="8">
                  <c:v>124561.87027396543</c:v>
                </c:pt>
                <c:pt idx="9">
                  <c:v>149212.9156583112</c:v>
                </c:pt>
                <c:pt idx="10">
                  <c:v>169504.14703642623</c:v>
                </c:pt>
                <c:pt idx="11">
                  <c:v>167129.27198197966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Tabelle1!$A$30</c:f>
              <c:strCache>
                <c:ptCount val="1"/>
                <c:pt idx="0">
                  <c:v>Die übrige Bevölkerung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Tabelle1!$C$25:$N$25</c:f>
              <c:numCache>
                <c:ptCount val="12"/>
                <c:pt idx="0">
                  <c:v>1961</c:v>
                </c:pt>
                <c:pt idx="1">
                  <c:v>1965</c:v>
                </c:pt>
                <c:pt idx="2">
                  <c:v>1968</c:v>
                </c:pt>
                <c:pt idx="3">
                  <c:v>1971</c:v>
                </c:pt>
                <c:pt idx="4">
                  <c:v>1974</c:v>
                </c:pt>
                <c:pt idx="5">
                  <c:v>1977</c:v>
                </c:pt>
                <c:pt idx="6">
                  <c:v>1980</c:v>
                </c:pt>
                <c:pt idx="7">
                  <c:v>1983</c:v>
                </c:pt>
                <c:pt idx="8">
                  <c:v>1986</c:v>
                </c:pt>
                <c:pt idx="9">
                  <c:v>1989</c:v>
                </c:pt>
                <c:pt idx="10">
                  <c:v>1992</c:v>
                </c:pt>
                <c:pt idx="11">
                  <c:v>1995</c:v>
                </c:pt>
              </c:numCache>
            </c:numRef>
          </c:cat>
          <c:val>
            <c:numRef>
              <c:f>Tabelle1!$C$30:$N$30</c:f>
              <c:numCache>
                <c:ptCount val="12"/>
                <c:pt idx="0">
                  <c:v>5880.085396387714</c:v>
                </c:pt>
                <c:pt idx="1">
                  <c:v>7561.175443247955</c:v>
                </c:pt>
                <c:pt idx="2">
                  <c:v>10483.087486078275</c:v>
                </c:pt>
                <c:pt idx="3">
                  <c:v>15071.08115232481</c:v>
                </c:pt>
                <c:pt idx="4">
                  <c:v>20540.755525550998</c:v>
                </c:pt>
                <c:pt idx="5">
                  <c:v>24060.584297285342</c:v>
                </c:pt>
                <c:pt idx="6">
                  <c:v>27951.270849976354</c:v>
                </c:pt>
                <c:pt idx="7">
                  <c:v>29669.91538074286</c:v>
                </c:pt>
                <c:pt idx="8">
                  <c:v>33498.75713201363</c:v>
                </c:pt>
                <c:pt idx="9">
                  <c:v>38096.047706747966</c:v>
                </c:pt>
                <c:pt idx="10">
                  <c:v>44305.19510525131</c:v>
                </c:pt>
                <c:pt idx="11">
                  <c:v>47638.478690553166</c:v>
                </c:pt>
              </c:numCache>
            </c:numRef>
          </c:val>
          <c:smooth val="0"/>
        </c:ser>
        <c:marker val="1"/>
        <c:axId val="34660893"/>
        <c:axId val="43512582"/>
      </c:lineChart>
      <c:catAx>
        <c:axId val="34660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512582"/>
        <c:crosses val="autoZero"/>
        <c:auto val="1"/>
        <c:lblOffset val="100"/>
        <c:noMultiLvlLbl val="0"/>
      </c:catAx>
      <c:valAx>
        <c:axId val="435125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608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25"/>
          <c:y val="0.34425"/>
          <c:w val="0.13175"/>
          <c:h val="0.453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Die Einkommensentwicklung in Deutschland nach offiziellen Zahlen der Lohn- und Einkommensteuerstatistiken im Vergleich mit der Geldmenge M1 von 1961 bis 1995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5975"/>
          <c:w val="0.97925"/>
          <c:h val="0.76675"/>
        </c:manualLayout>
      </c:layout>
      <c:lineChart>
        <c:grouping val="standard"/>
        <c:varyColors val="0"/>
        <c:ser>
          <c:idx val="1"/>
          <c:order val="0"/>
          <c:tx>
            <c:strRef>
              <c:f>Tabelle1!$A$52</c:f>
              <c:strCache>
                <c:ptCount val="1"/>
                <c:pt idx="0">
                  <c:v>M1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Tabelle1!$C$51:$N$51</c:f>
              <c:numCache>
                <c:ptCount val="12"/>
                <c:pt idx="0">
                  <c:v>1961</c:v>
                </c:pt>
                <c:pt idx="1">
                  <c:v>1965</c:v>
                </c:pt>
                <c:pt idx="2">
                  <c:v>1968</c:v>
                </c:pt>
                <c:pt idx="3">
                  <c:v>1971</c:v>
                </c:pt>
                <c:pt idx="4">
                  <c:v>1974</c:v>
                </c:pt>
                <c:pt idx="5">
                  <c:v>1977</c:v>
                </c:pt>
                <c:pt idx="6">
                  <c:v>1980</c:v>
                </c:pt>
                <c:pt idx="7">
                  <c:v>1983</c:v>
                </c:pt>
                <c:pt idx="8">
                  <c:v>1986</c:v>
                </c:pt>
                <c:pt idx="9">
                  <c:v>1989</c:v>
                </c:pt>
                <c:pt idx="10">
                  <c:v>1992</c:v>
                </c:pt>
                <c:pt idx="11">
                  <c:v>1995</c:v>
                </c:pt>
              </c:numCache>
            </c:numRef>
          </c:cat>
          <c:val>
            <c:numRef>
              <c:f>Tabelle1!$C$52:$N$52</c:f>
              <c:numCache>
                <c:ptCount val="12"/>
                <c:pt idx="0">
                  <c:v>#N/A</c:v>
                </c:pt>
                <c:pt idx="1">
                  <c:v>#N/A</c:v>
                </c:pt>
                <c:pt idx="2">
                  <c:v>93466000000</c:v>
                </c:pt>
                <c:pt idx="3">
                  <c:v>121522000000</c:v>
                </c:pt>
                <c:pt idx="4">
                  <c:v>158432000000</c:v>
                </c:pt>
                <c:pt idx="5">
                  <c:v>208076000000</c:v>
                </c:pt>
                <c:pt idx="6">
                  <c:v>257335000000</c:v>
                </c:pt>
                <c:pt idx="7">
                  <c:v>295795000000</c:v>
                </c:pt>
                <c:pt idx="8">
                  <c:v>358747000000</c:v>
                </c:pt>
                <c:pt idx="9">
                  <c:v>450623000000</c:v>
                </c:pt>
                <c:pt idx="10">
                  <c:v>669575000000</c:v>
                </c:pt>
                <c:pt idx="11">
                  <c:v>816094000000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Tabelle1!$A$54</c:f>
              <c:strCache>
                <c:ptCount val="1"/>
                <c:pt idx="0">
                  <c:v>Durchschnittseinkünfte von rund 95% der Bevölkerung für das Diagramm  optisch angepasst (vervielfacht)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Tabelle1!$C$51:$N$51</c:f>
              <c:numCache>
                <c:ptCount val="12"/>
                <c:pt idx="0">
                  <c:v>1961</c:v>
                </c:pt>
                <c:pt idx="1">
                  <c:v>1965</c:v>
                </c:pt>
                <c:pt idx="2">
                  <c:v>1968</c:v>
                </c:pt>
                <c:pt idx="3">
                  <c:v>1971</c:v>
                </c:pt>
                <c:pt idx="4">
                  <c:v>1974</c:v>
                </c:pt>
                <c:pt idx="5">
                  <c:v>1977</c:v>
                </c:pt>
                <c:pt idx="6">
                  <c:v>1980</c:v>
                </c:pt>
                <c:pt idx="7">
                  <c:v>1983</c:v>
                </c:pt>
                <c:pt idx="8">
                  <c:v>1986</c:v>
                </c:pt>
                <c:pt idx="9">
                  <c:v>1989</c:v>
                </c:pt>
                <c:pt idx="10">
                  <c:v>1992</c:v>
                </c:pt>
                <c:pt idx="11">
                  <c:v>1995</c:v>
                </c:pt>
              </c:numCache>
            </c:numRef>
          </c:cat>
          <c:val>
            <c:numRef>
              <c:f>Tabelle1!$C$55:$N$55</c:f>
              <c:numCache>
                <c:ptCount val="12"/>
                <c:pt idx="2">
                  <c:v>10483087486.078276</c:v>
                </c:pt>
                <c:pt idx="3">
                  <c:v>15071081152.32481</c:v>
                </c:pt>
                <c:pt idx="4">
                  <c:v>20540755525.551</c:v>
                </c:pt>
                <c:pt idx="5">
                  <c:v>24060584297.285343</c:v>
                </c:pt>
                <c:pt idx="6">
                  <c:v>27951270849.976353</c:v>
                </c:pt>
                <c:pt idx="7">
                  <c:v>29669915380.74286</c:v>
                </c:pt>
                <c:pt idx="8">
                  <c:v>33498757132.013626</c:v>
                </c:pt>
                <c:pt idx="9">
                  <c:v>38096047706.74796</c:v>
                </c:pt>
                <c:pt idx="10">
                  <c:v>44305195105.25131</c:v>
                </c:pt>
                <c:pt idx="11">
                  <c:v>47638478690.55317</c:v>
                </c:pt>
              </c:numCache>
            </c:numRef>
          </c:val>
          <c:smooth val="0"/>
        </c:ser>
        <c:marker val="1"/>
        <c:axId val="56068919"/>
        <c:axId val="34858224"/>
      </c:lineChart>
      <c:lineChart>
        <c:grouping val="standard"/>
        <c:varyColors val="0"/>
        <c:ser>
          <c:idx val="2"/>
          <c:order val="2"/>
          <c:tx>
            <c:strRef>
              <c:f>Tabelle1!$A$56</c:f>
              <c:strCache>
                <c:ptCount val="1"/>
                <c:pt idx="0">
                  <c:v>Anteil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Tabelle1!$C$56:$N$56</c:f>
              <c:numCache>
                <c:ptCount val="12"/>
                <c:pt idx="2">
                  <c:v>1.1215936796351909E-07</c:v>
                </c:pt>
                <c:pt idx="3">
                  <c:v>1.2401936400260703E-07</c:v>
                </c:pt>
                <c:pt idx="4">
                  <c:v>1.2965029492495832E-07</c:v>
                </c:pt>
                <c:pt idx="5">
                  <c:v>1.156336352932839E-07</c:v>
                </c:pt>
                <c:pt idx="6">
                  <c:v>1.0861822468757205E-07</c:v>
                </c:pt>
                <c:pt idx="7">
                  <c:v>1.0030566906385456E-07</c:v>
                </c:pt>
                <c:pt idx="8">
                  <c:v>9.337710735424582E-08</c:v>
                </c:pt>
                <c:pt idx="9">
                  <c:v>8.454084169416112E-08</c:v>
                </c:pt>
                <c:pt idx="10">
                  <c:v>6.616912982899797E-08</c:v>
                </c:pt>
                <c:pt idx="11">
                  <c:v>5.837376416264936E-08</c:v>
                </c:pt>
              </c:numCache>
            </c:numRef>
          </c:val>
          <c:smooth val="0"/>
        </c:ser>
        <c:marker val="1"/>
        <c:axId val="45288561"/>
        <c:axId val="4943866"/>
      </c:lineChart>
      <c:catAx>
        <c:axId val="560689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858224"/>
        <c:crosses val="autoZero"/>
        <c:auto val="0"/>
        <c:lblOffset val="100"/>
        <c:noMultiLvlLbl val="0"/>
      </c:catAx>
      <c:valAx>
        <c:axId val="34858224"/>
        <c:scaling>
          <c:orientation val="minMax"/>
        </c:scaling>
        <c:axPos val="l"/>
        <c:majorGridlines/>
        <c:minorGridlines/>
        <c:delete val="0"/>
        <c:numFmt formatCode="#,##0" sourceLinked="0"/>
        <c:majorTickMark val="in"/>
        <c:minorTickMark val="none"/>
        <c:tickLblPos val="nextTo"/>
        <c:crossAx val="56068919"/>
        <c:crossesAt val="1"/>
        <c:crossBetween val="between"/>
        <c:dispUnits/>
        <c:minorUnit val="50000000000"/>
      </c:valAx>
      <c:catAx>
        <c:axId val="45288561"/>
        <c:scaling>
          <c:orientation val="minMax"/>
        </c:scaling>
        <c:axPos val="b"/>
        <c:delete val="1"/>
        <c:majorTickMark val="in"/>
        <c:minorTickMark val="none"/>
        <c:tickLblPos val="nextTo"/>
        <c:crossAx val="4943866"/>
        <c:crosses val="autoZero"/>
        <c:auto val="0"/>
        <c:lblOffset val="100"/>
        <c:noMultiLvlLbl val="0"/>
      </c:catAx>
      <c:valAx>
        <c:axId val="4943866"/>
        <c:scaling>
          <c:orientation val="minMax"/>
        </c:scaling>
        <c:axPos val="l"/>
        <c:delete val="0"/>
        <c:numFmt formatCode="0.00000000%" sourceLinked="0"/>
        <c:majorTickMark val="in"/>
        <c:minorTickMark val="none"/>
        <c:tickLblPos val="nextTo"/>
        <c:crossAx val="4528856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975"/>
          <c:y val="0.924"/>
          <c:w val="0.8385"/>
          <c:h val="0.064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Die Einkommensentwicklung in Deutschland nach offiziellen Zahlen der Lohn- und Einkommensteuerstatistiken im Vergleich mit der Geldmenge M1 von 1961 bis 1995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5975"/>
          <c:w val="0.97925"/>
          <c:h val="0.76475"/>
        </c:manualLayout>
      </c:layout>
      <c:lineChart>
        <c:grouping val="standard"/>
        <c:varyColors val="0"/>
        <c:ser>
          <c:idx val="1"/>
          <c:order val="0"/>
          <c:tx>
            <c:strRef>
              <c:f>Tabelle1!$A$43</c:f>
              <c:strCache>
                <c:ptCount val="1"/>
                <c:pt idx="0">
                  <c:v>M1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Tabelle1!$C$42:$N$42</c:f>
              <c:numCache>
                <c:ptCount val="12"/>
                <c:pt idx="0">
                  <c:v>1961</c:v>
                </c:pt>
                <c:pt idx="1">
                  <c:v>1965</c:v>
                </c:pt>
                <c:pt idx="2">
                  <c:v>1968</c:v>
                </c:pt>
                <c:pt idx="3">
                  <c:v>1971</c:v>
                </c:pt>
                <c:pt idx="4">
                  <c:v>1974</c:v>
                </c:pt>
                <c:pt idx="5">
                  <c:v>1977</c:v>
                </c:pt>
                <c:pt idx="6">
                  <c:v>1980</c:v>
                </c:pt>
                <c:pt idx="7">
                  <c:v>1983</c:v>
                </c:pt>
                <c:pt idx="8">
                  <c:v>1986</c:v>
                </c:pt>
                <c:pt idx="9">
                  <c:v>1989</c:v>
                </c:pt>
                <c:pt idx="10">
                  <c:v>1992</c:v>
                </c:pt>
                <c:pt idx="11">
                  <c:v>1995</c:v>
                </c:pt>
              </c:numCache>
            </c:numRef>
          </c:cat>
          <c:val>
            <c:numRef>
              <c:f>Tabelle1!$C$43:$N$43</c:f>
              <c:numCache>
                <c:ptCount val="12"/>
                <c:pt idx="0">
                  <c:v>#N/A</c:v>
                </c:pt>
                <c:pt idx="1">
                  <c:v>#N/A</c:v>
                </c:pt>
                <c:pt idx="2">
                  <c:v>93466000000</c:v>
                </c:pt>
                <c:pt idx="3">
                  <c:v>121522000000</c:v>
                </c:pt>
                <c:pt idx="4">
                  <c:v>158432000000</c:v>
                </c:pt>
                <c:pt idx="5">
                  <c:v>208076000000</c:v>
                </c:pt>
                <c:pt idx="6">
                  <c:v>257335000000</c:v>
                </c:pt>
                <c:pt idx="7">
                  <c:v>295795000000</c:v>
                </c:pt>
                <c:pt idx="8">
                  <c:v>358747000000</c:v>
                </c:pt>
                <c:pt idx="9">
                  <c:v>450623000000</c:v>
                </c:pt>
                <c:pt idx="10">
                  <c:v>669575000000</c:v>
                </c:pt>
                <c:pt idx="11">
                  <c:v>816094000000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Tabelle1!$A$45</c:f>
              <c:strCache>
                <c:ptCount val="1"/>
                <c:pt idx="0">
                  <c:v>Durchschnittseinkünfte in der "1000 Reichsten"  für das Diagramm  optisch angepasst (vervielfacht)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Tabelle1!$C$42:$N$42</c:f>
              <c:numCache>
                <c:ptCount val="12"/>
                <c:pt idx="0">
                  <c:v>1961</c:v>
                </c:pt>
                <c:pt idx="1">
                  <c:v>1965</c:v>
                </c:pt>
                <c:pt idx="2">
                  <c:v>1968</c:v>
                </c:pt>
                <c:pt idx="3">
                  <c:v>1971</c:v>
                </c:pt>
                <c:pt idx="4">
                  <c:v>1974</c:v>
                </c:pt>
                <c:pt idx="5">
                  <c:v>1977</c:v>
                </c:pt>
                <c:pt idx="6">
                  <c:v>1980</c:v>
                </c:pt>
                <c:pt idx="7">
                  <c:v>1983</c:v>
                </c:pt>
                <c:pt idx="8">
                  <c:v>1986</c:v>
                </c:pt>
                <c:pt idx="9">
                  <c:v>1989</c:v>
                </c:pt>
                <c:pt idx="10">
                  <c:v>1992</c:v>
                </c:pt>
                <c:pt idx="11">
                  <c:v>1995</c:v>
                </c:pt>
              </c:numCache>
            </c:numRef>
          </c:cat>
          <c:val>
            <c:numRef>
              <c:f>Tabelle1!$C$46:$N$46</c:f>
              <c:numCache>
                <c:ptCount val="12"/>
                <c:pt idx="2">
                  <c:v>24678750000</c:v>
                </c:pt>
                <c:pt idx="3">
                  <c:v>55891379830.348724</c:v>
                </c:pt>
                <c:pt idx="4">
                  <c:v>51103981541.09589</c:v>
                </c:pt>
                <c:pt idx="5">
                  <c:v>58817294117.64706</c:v>
                </c:pt>
                <c:pt idx="6">
                  <c:v>87010444444.44444</c:v>
                </c:pt>
                <c:pt idx="7">
                  <c:v>100359750000</c:v>
                </c:pt>
                <c:pt idx="8">
                  <c:v>143803110852.01794</c:v>
                </c:pt>
                <c:pt idx="9">
                  <c:v>346300750647.1096</c:v>
                </c:pt>
                <c:pt idx="10">
                  <c:v>166942770531.49606</c:v>
                </c:pt>
                <c:pt idx="11">
                  <c:v>169307610264.63513</c:v>
                </c:pt>
              </c:numCache>
            </c:numRef>
          </c:val>
          <c:smooth val="0"/>
        </c:ser>
        <c:marker val="1"/>
        <c:axId val="44494795"/>
        <c:axId val="64908836"/>
      </c:lineChart>
      <c:lineChart>
        <c:grouping val="standard"/>
        <c:varyColors val="0"/>
        <c:ser>
          <c:idx val="2"/>
          <c:order val="2"/>
          <c:tx>
            <c:strRef>
              <c:f>Tabelle1!$A$47</c:f>
              <c:strCache>
                <c:ptCount val="1"/>
                <c:pt idx="0">
                  <c:v>Anteil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Tabelle1!$C$47:$N$47</c:f>
              <c:numCache>
                <c:ptCount val="12"/>
                <c:pt idx="2">
                  <c:v>2.6403986476365737E-05</c:v>
                </c:pt>
                <c:pt idx="3">
                  <c:v>4.599280774703241E-05</c:v>
                </c:pt>
                <c:pt idx="4">
                  <c:v>3.2256098225797746E-05</c:v>
                </c:pt>
                <c:pt idx="5">
                  <c:v>2.826721684271471E-05</c:v>
                </c:pt>
                <c:pt idx="6">
                  <c:v>3.381212988689624E-05</c:v>
                </c:pt>
                <c:pt idx="7">
                  <c:v>3.3928818945553506E-05</c:v>
                </c:pt>
                <c:pt idx="8">
                  <c:v>4.008482603395093E-05</c:v>
                </c:pt>
                <c:pt idx="9">
                  <c:v>7.684932873979127E-05</c:v>
                </c:pt>
                <c:pt idx="10">
                  <c:v>2.4932646907590048E-05</c:v>
                </c:pt>
                <c:pt idx="11">
                  <c:v>2.074609178166181E-05</c:v>
                </c:pt>
              </c:numCache>
            </c:numRef>
          </c:val>
          <c:smooth val="0"/>
        </c:ser>
        <c:marker val="1"/>
        <c:axId val="47308613"/>
        <c:axId val="23124334"/>
      </c:lineChart>
      <c:catAx>
        <c:axId val="444947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908836"/>
        <c:crosses val="autoZero"/>
        <c:auto val="0"/>
        <c:lblOffset val="100"/>
        <c:noMultiLvlLbl val="0"/>
      </c:catAx>
      <c:valAx>
        <c:axId val="64908836"/>
        <c:scaling>
          <c:orientation val="minMax"/>
        </c:scaling>
        <c:axPos val="l"/>
        <c:majorGridlines/>
        <c:minorGridlines/>
        <c:delete val="0"/>
        <c:numFmt formatCode="#,##0" sourceLinked="0"/>
        <c:majorTickMark val="in"/>
        <c:minorTickMark val="none"/>
        <c:tickLblPos val="nextTo"/>
        <c:crossAx val="44494795"/>
        <c:crossesAt val="1"/>
        <c:crossBetween val="between"/>
        <c:dispUnits/>
        <c:minorUnit val="50000000000"/>
      </c:valAx>
      <c:catAx>
        <c:axId val="47308613"/>
        <c:scaling>
          <c:orientation val="minMax"/>
        </c:scaling>
        <c:axPos val="b"/>
        <c:delete val="1"/>
        <c:majorTickMark val="in"/>
        <c:minorTickMark val="none"/>
        <c:tickLblPos val="nextTo"/>
        <c:crossAx val="23124334"/>
        <c:crosses val="autoZero"/>
        <c:auto val="0"/>
        <c:lblOffset val="100"/>
        <c:noMultiLvlLbl val="0"/>
      </c:catAx>
      <c:valAx>
        <c:axId val="23124334"/>
        <c:scaling>
          <c:orientation val="minMax"/>
        </c:scaling>
        <c:axPos val="l"/>
        <c:delete val="0"/>
        <c:numFmt formatCode="0.00000000%" sourceLinked="0"/>
        <c:majorTickMark val="in"/>
        <c:minorTickMark val="none"/>
        <c:tickLblPos val="nextTo"/>
        <c:crossAx val="4730861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375"/>
          <c:y val="0.926"/>
          <c:w val="0.8385"/>
          <c:h val="0.064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Die Einkommensentwicklung in Deutschland nach offiziellen Zahlen der Lohn- und Einkommensteuerstatistiken im Vergleich mit der Geldmenge M3 von 1961 bis 1995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5975"/>
          <c:w val="0.97925"/>
          <c:h val="0.76475"/>
        </c:manualLayout>
      </c:layout>
      <c:lineChart>
        <c:grouping val="standard"/>
        <c:varyColors val="0"/>
        <c:ser>
          <c:idx val="1"/>
          <c:order val="0"/>
          <c:tx>
            <c:strRef>
              <c:f>Tabelle1!$A$70</c:f>
              <c:strCache>
                <c:ptCount val="1"/>
                <c:pt idx="0">
                  <c:v>M3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Tabelle1!$C$69:$N$69</c:f>
              <c:numCache>
                <c:ptCount val="12"/>
                <c:pt idx="0">
                  <c:v>1961</c:v>
                </c:pt>
                <c:pt idx="1">
                  <c:v>1965</c:v>
                </c:pt>
                <c:pt idx="2">
                  <c:v>1968</c:v>
                </c:pt>
                <c:pt idx="3">
                  <c:v>1971</c:v>
                </c:pt>
                <c:pt idx="4">
                  <c:v>1974</c:v>
                </c:pt>
                <c:pt idx="5">
                  <c:v>1977</c:v>
                </c:pt>
                <c:pt idx="6">
                  <c:v>1980</c:v>
                </c:pt>
                <c:pt idx="7">
                  <c:v>1983</c:v>
                </c:pt>
                <c:pt idx="8">
                  <c:v>1986</c:v>
                </c:pt>
                <c:pt idx="9">
                  <c:v>1989</c:v>
                </c:pt>
                <c:pt idx="10">
                  <c:v>1992</c:v>
                </c:pt>
                <c:pt idx="11">
                  <c:v>1995</c:v>
                </c:pt>
              </c:numCache>
            </c:numRef>
          </c:cat>
          <c:val>
            <c:numRef>
              <c:f>Tabelle1!$C$70:$N$70</c:f>
              <c:numCach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452205000000</c:v>
                </c:pt>
                <c:pt idx="5">
                  <c:v>591473000000</c:v>
                </c:pt>
                <c:pt idx="6">
                  <c:v>739431000000</c:v>
                </c:pt>
                <c:pt idx="7">
                  <c:v>874843000000</c:v>
                </c:pt>
                <c:pt idx="8">
                  <c:v>1050687000000</c:v>
                </c:pt>
                <c:pt idx="9">
                  <c:v>1255458000000</c:v>
                </c:pt>
                <c:pt idx="10">
                  <c:v>1718696000000</c:v>
                </c:pt>
                <c:pt idx="11">
                  <c:v>2007441000000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Tabelle1!$A$72</c:f>
              <c:strCache>
                <c:ptCount val="1"/>
                <c:pt idx="0">
                  <c:v>Durchschnittseinkünfte von rund 95% der Bevölkerung für das Diagramm  optisch angepasst (vervielfacht)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Tabelle1!$C$69:$N$69</c:f>
              <c:numCache>
                <c:ptCount val="12"/>
                <c:pt idx="0">
                  <c:v>1961</c:v>
                </c:pt>
                <c:pt idx="1">
                  <c:v>1965</c:v>
                </c:pt>
                <c:pt idx="2">
                  <c:v>1968</c:v>
                </c:pt>
                <c:pt idx="3">
                  <c:v>1971</c:v>
                </c:pt>
                <c:pt idx="4">
                  <c:v>1974</c:v>
                </c:pt>
                <c:pt idx="5">
                  <c:v>1977</c:v>
                </c:pt>
                <c:pt idx="6">
                  <c:v>1980</c:v>
                </c:pt>
                <c:pt idx="7">
                  <c:v>1983</c:v>
                </c:pt>
                <c:pt idx="8">
                  <c:v>1986</c:v>
                </c:pt>
                <c:pt idx="9">
                  <c:v>1989</c:v>
                </c:pt>
                <c:pt idx="10">
                  <c:v>1992</c:v>
                </c:pt>
                <c:pt idx="11">
                  <c:v>1995</c:v>
                </c:pt>
              </c:numCache>
            </c:numRef>
          </c:cat>
          <c:val>
            <c:numRef>
              <c:f>Tabelle1!$C$73:$N$73</c:f>
              <c:numCache>
                <c:ptCount val="12"/>
                <c:pt idx="4">
                  <c:v>20540755525.551</c:v>
                </c:pt>
                <c:pt idx="5">
                  <c:v>24060584297.285343</c:v>
                </c:pt>
                <c:pt idx="6">
                  <c:v>27951270849.976353</c:v>
                </c:pt>
                <c:pt idx="7">
                  <c:v>29669915380.74286</c:v>
                </c:pt>
                <c:pt idx="8">
                  <c:v>33498757132.013626</c:v>
                </c:pt>
                <c:pt idx="9">
                  <c:v>38096047706.74796</c:v>
                </c:pt>
                <c:pt idx="10">
                  <c:v>44305195105.25131</c:v>
                </c:pt>
                <c:pt idx="11">
                  <c:v>47638478690.55317</c:v>
                </c:pt>
              </c:numCache>
            </c:numRef>
          </c:val>
          <c:smooth val="0"/>
        </c:ser>
        <c:marker val="1"/>
        <c:axId val="6792415"/>
        <c:axId val="61131736"/>
      </c:lineChart>
      <c:lineChart>
        <c:grouping val="standard"/>
        <c:varyColors val="0"/>
        <c:ser>
          <c:idx val="2"/>
          <c:order val="2"/>
          <c:tx>
            <c:strRef>
              <c:f>Tabelle1!$A$74</c:f>
              <c:strCache>
                <c:ptCount val="1"/>
                <c:pt idx="0">
                  <c:v>Anteil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Tabelle1!$C$74:$N$74</c:f>
              <c:numCache>
                <c:ptCount val="12"/>
                <c:pt idx="4">
                  <c:v>4.542354800488937E-08</c:v>
                </c:pt>
                <c:pt idx="5">
                  <c:v>4.0679091517762166E-08</c:v>
                </c:pt>
                <c:pt idx="6">
                  <c:v>3.780105358035619E-08</c:v>
                </c:pt>
                <c:pt idx="7">
                  <c:v>3.391455996189357E-08</c:v>
                </c:pt>
                <c:pt idx="8">
                  <c:v>3.1882717814166945E-08</c:v>
                </c:pt>
                <c:pt idx="9">
                  <c:v>3.034434262774857E-08</c:v>
                </c:pt>
                <c:pt idx="10">
                  <c:v>2.5778377971003196E-08</c:v>
                </c:pt>
                <c:pt idx="11">
                  <c:v>2.3730948351933216E-08</c:v>
                </c:pt>
              </c:numCache>
            </c:numRef>
          </c:val>
          <c:smooth val="0"/>
        </c:ser>
        <c:marker val="1"/>
        <c:axId val="13314713"/>
        <c:axId val="52723554"/>
      </c:lineChart>
      <c:catAx>
        <c:axId val="67924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131736"/>
        <c:crosses val="autoZero"/>
        <c:auto val="0"/>
        <c:lblOffset val="100"/>
        <c:noMultiLvlLbl val="0"/>
      </c:catAx>
      <c:valAx>
        <c:axId val="61131736"/>
        <c:scaling>
          <c:orientation val="minMax"/>
        </c:scaling>
        <c:axPos val="l"/>
        <c:majorGridlines/>
        <c:minorGridlines/>
        <c:delete val="0"/>
        <c:numFmt formatCode="#,##0" sourceLinked="0"/>
        <c:majorTickMark val="in"/>
        <c:minorTickMark val="none"/>
        <c:tickLblPos val="nextTo"/>
        <c:crossAx val="6792415"/>
        <c:crossesAt val="1"/>
        <c:crossBetween val="between"/>
        <c:dispUnits/>
        <c:minorUnit val="250000000000"/>
      </c:valAx>
      <c:catAx>
        <c:axId val="13314713"/>
        <c:scaling>
          <c:orientation val="minMax"/>
        </c:scaling>
        <c:axPos val="b"/>
        <c:delete val="1"/>
        <c:majorTickMark val="in"/>
        <c:minorTickMark val="none"/>
        <c:tickLblPos val="nextTo"/>
        <c:crossAx val="52723554"/>
        <c:crosses val="autoZero"/>
        <c:auto val="0"/>
        <c:lblOffset val="100"/>
        <c:noMultiLvlLbl val="0"/>
      </c:catAx>
      <c:valAx>
        <c:axId val="52723554"/>
        <c:scaling>
          <c:orientation val="minMax"/>
        </c:scaling>
        <c:axPos val="l"/>
        <c:delete val="0"/>
        <c:numFmt formatCode="0.00000000%" sourceLinked="0"/>
        <c:majorTickMark val="in"/>
        <c:minorTickMark val="none"/>
        <c:tickLblPos val="nextTo"/>
        <c:crossAx val="1331471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475"/>
          <c:y val="0.926"/>
          <c:w val="0.8385"/>
          <c:h val="0.064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Die Einkommensentwicklung in Deutschland nach offiziellen Zahlen der Lohn- und Einkommensteuerstatistiken im Vergleich mit der Geldmenge M3 von 1961 bis 1995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5975"/>
          <c:w val="0.97925"/>
          <c:h val="0.76475"/>
        </c:manualLayout>
      </c:layout>
      <c:lineChart>
        <c:grouping val="standard"/>
        <c:varyColors val="0"/>
        <c:ser>
          <c:idx val="1"/>
          <c:order val="0"/>
          <c:tx>
            <c:strRef>
              <c:f>Tabelle1!$A$61</c:f>
              <c:strCache>
                <c:ptCount val="1"/>
                <c:pt idx="0">
                  <c:v>M3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Tabelle1!$C$60:$N$60</c:f>
              <c:numCache>
                <c:ptCount val="12"/>
                <c:pt idx="0">
                  <c:v>1961</c:v>
                </c:pt>
                <c:pt idx="1">
                  <c:v>1965</c:v>
                </c:pt>
                <c:pt idx="2">
                  <c:v>1968</c:v>
                </c:pt>
                <c:pt idx="3">
                  <c:v>1971</c:v>
                </c:pt>
                <c:pt idx="4">
                  <c:v>1974</c:v>
                </c:pt>
                <c:pt idx="5">
                  <c:v>1977</c:v>
                </c:pt>
                <c:pt idx="6">
                  <c:v>1980</c:v>
                </c:pt>
                <c:pt idx="7">
                  <c:v>1983</c:v>
                </c:pt>
                <c:pt idx="8">
                  <c:v>1986</c:v>
                </c:pt>
                <c:pt idx="9">
                  <c:v>1989</c:v>
                </c:pt>
                <c:pt idx="10">
                  <c:v>1992</c:v>
                </c:pt>
                <c:pt idx="11">
                  <c:v>1995</c:v>
                </c:pt>
              </c:numCache>
            </c:numRef>
          </c:cat>
          <c:val>
            <c:numRef>
              <c:f>Tabelle1!$C$61:$N$61</c:f>
              <c:numCach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452205000000</c:v>
                </c:pt>
                <c:pt idx="5">
                  <c:v>591473000000</c:v>
                </c:pt>
                <c:pt idx="6">
                  <c:v>739431000000</c:v>
                </c:pt>
                <c:pt idx="7">
                  <c:v>874843000000</c:v>
                </c:pt>
                <c:pt idx="8">
                  <c:v>1050687000000</c:v>
                </c:pt>
                <c:pt idx="9">
                  <c:v>1255458000000</c:v>
                </c:pt>
                <c:pt idx="10">
                  <c:v>1718696000000</c:v>
                </c:pt>
                <c:pt idx="11">
                  <c:v>2007441000000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Tabelle1!$A$63</c:f>
              <c:strCache>
                <c:ptCount val="1"/>
                <c:pt idx="0">
                  <c:v>Durchschnittseinkünfte in der "1000 Reichsten"  für das Diagramm  optisch angepasst (vervielfacht)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Tabelle1!$C$60:$N$60</c:f>
              <c:numCache>
                <c:ptCount val="12"/>
                <c:pt idx="0">
                  <c:v>1961</c:v>
                </c:pt>
                <c:pt idx="1">
                  <c:v>1965</c:v>
                </c:pt>
                <c:pt idx="2">
                  <c:v>1968</c:v>
                </c:pt>
                <c:pt idx="3">
                  <c:v>1971</c:v>
                </c:pt>
                <c:pt idx="4">
                  <c:v>1974</c:v>
                </c:pt>
                <c:pt idx="5">
                  <c:v>1977</c:v>
                </c:pt>
                <c:pt idx="6">
                  <c:v>1980</c:v>
                </c:pt>
                <c:pt idx="7">
                  <c:v>1983</c:v>
                </c:pt>
                <c:pt idx="8">
                  <c:v>1986</c:v>
                </c:pt>
                <c:pt idx="9">
                  <c:v>1989</c:v>
                </c:pt>
                <c:pt idx="10">
                  <c:v>1992</c:v>
                </c:pt>
                <c:pt idx="11">
                  <c:v>1995</c:v>
                </c:pt>
              </c:numCache>
            </c:numRef>
          </c:cat>
          <c:val>
            <c:numRef>
              <c:f>Tabelle1!$C$64:$N$64</c:f>
              <c:numCache>
                <c:ptCount val="12"/>
                <c:pt idx="4">
                  <c:v>51103981541.09589</c:v>
                </c:pt>
                <c:pt idx="5">
                  <c:v>58817294117.64706</c:v>
                </c:pt>
                <c:pt idx="6">
                  <c:v>87010444444.44444</c:v>
                </c:pt>
                <c:pt idx="7">
                  <c:v>100359750000</c:v>
                </c:pt>
                <c:pt idx="8">
                  <c:v>143803110852.01794</c:v>
                </c:pt>
                <c:pt idx="9">
                  <c:v>346300750647.1096</c:v>
                </c:pt>
                <c:pt idx="10">
                  <c:v>166942770531.49606</c:v>
                </c:pt>
                <c:pt idx="11">
                  <c:v>169307610264.63513</c:v>
                </c:pt>
              </c:numCache>
            </c:numRef>
          </c:val>
          <c:smooth val="0"/>
        </c:ser>
        <c:marker val="1"/>
        <c:axId val="4749939"/>
        <c:axId val="42749452"/>
      </c:lineChart>
      <c:lineChart>
        <c:grouping val="standard"/>
        <c:varyColors val="0"/>
        <c:ser>
          <c:idx val="2"/>
          <c:order val="2"/>
          <c:tx>
            <c:strRef>
              <c:f>Tabelle1!$A$65</c:f>
              <c:strCache>
                <c:ptCount val="1"/>
                <c:pt idx="0">
                  <c:v>Anteil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Tabelle1!$C$65:$N$65</c:f>
              <c:numCache>
                <c:ptCount val="12"/>
                <c:pt idx="4">
                  <c:v>1.1301065123361282E-05</c:v>
                </c:pt>
                <c:pt idx="5">
                  <c:v>9.944206095231237E-06</c:v>
                </c:pt>
                <c:pt idx="6">
                  <c:v>1.1767216203329917E-05</c:v>
                </c:pt>
                <c:pt idx="7">
                  <c:v>1.1471744072936516E-05</c:v>
                </c:pt>
                <c:pt idx="8">
                  <c:v>1.3686579433458104E-05</c:v>
                </c:pt>
                <c:pt idx="9">
                  <c:v>2.758361893803772E-05</c:v>
                </c:pt>
                <c:pt idx="10">
                  <c:v>9.713339097286319E-06</c:v>
                </c:pt>
                <c:pt idx="11">
                  <c:v>8.434001809499513E-06</c:v>
                </c:pt>
              </c:numCache>
            </c:numRef>
          </c:val>
          <c:smooth val="0"/>
        </c:ser>
        <c:marker val="1"/>
        <c:axId val="49200749"/>
        <c:axId val="40153558"/>
      </c:lineChart>
      <c:catAx>
        <c:axId val="47499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749452"/>
        <c:crosses val="autoZero"/>
        <c:auto val="0"/>
        <c:lblOffset val="100"/>
        <c:noMultiLvlLbl val="0"/>
      </c:catAx>
      <c:valAx>
        <c:axId val="42749452"/>
        <c:scaling>
          <c:orientation val="minMax"/>
        </c:scaling>
        <c:axPos val="l"/>
        <c:majorGridlines/>
        <c:minorGridlines/>
        <c:delete val="0"/>
        <c:numFmt formatCode="#,##0" sourceLinked="0"/>
        <c:majorTickMark val="in"/>
        <c:minorTickMark val="none"/>
        <c:tickLblPos val="nextTo"/>
        <c:crossAx val="4749939"/>
        <c:crossesAt val="1"/>
        <c:crossBetween val="between"/>
        <c:dispUnits/>
        <c:minorUnit val="250000000000"/>
      </c:valAx>
      <c:catAx>
        <c:axId val="49200749"/>
        <c:scaling>
          <c:orientation val="minMax"/>
        </c:scaling>
        <c:axPos val="b"/>
        <c:delete val="1"/>
        <c:majorTickMark val="in"/>
        <c:minorTickMark val="none"/>
        <c:tickLblPos val="nextTo"/>
        <c:crossAx val="40153558"/>
        <c:crosses val="autoZero"/>
        <c:auto val="0"/>
        <c:lblOffset val="100"/>
        <c:noMultiLvlLbl val="0"/>
      </c:catAx>
      <c:valAx>
        <c:axId val="40153558"/>
        <c:scaling>
          <c:orientation val="minMax"/>
        </c:scaling>
        <c:axPos val="l"/>
        <c:delete val="0"/>
        <c:numFmt formatCode="0.00000000%" sourceLinked="0"/>
        <c:majorTickMark val="in"/>
        <c:minorTickMark val="none"/>
        <c:tickLblPos val="nextTo"/>
        <c:crossAx val="4920074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875"/>
          <c:y val="0.926"/>
          <c:w val="0.8385"/>
          <c:h val="0.064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0.77225</cdr:x>
      <cdr:y>0.118</cdr:y>
    </cdr:from>
    <cdr:to>
      <cdr:x>0.9</cdr:x>
      <cdr:y>0.5715</cdr:y>
    </cdr:to>
    <cdr:sp>
      <cdr:nvSpPr>
        <cdr:cNvPr id="1" name="Line 4"/>
        <cdr:cNvSpPr>
          <a:spLocks/>
        </cdr:cNvSpPr>
      </cdr:nvSpPr>
      <cdr:spPr>
        <a:xfrm flipH="1">
          <a:off x="7496175" y="581025"/>
          <a:ext cx="1238250" cy="2266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0.85425</cdr:x>
      <cdr:y>0.033</cdr:y>
    </cdr:from>
    <cdr:to>
      <cdr:x>0.99875</cdr:x>
      <cdr:y>0.14</cdr:y>
    </cdr:to>
    <cdr:sp>
      <cdr:nvSpPr>
        <cdr:cNvPr id="2" name="TextBox 2"/>
        <cdr:cNvSpPr txBox="1">
          <a:spLocks noChangeArrowheads="1"/>
        </cdr:cNvSpPr>
      </cdr:nvSpPr>
      <cdr:spPr>
        <a:xfrm>
          <a:off x="8296275" y="161925"/>
          <a:ext cx="14001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Neue Abschreibungs- 
möglichkeiten  durch die neuen Bundesländer</a:t>
          </a:r>
        </a:p>
      </cdr:txBody>
    </cdr:sp>
  </cdr:relSizeAnchor>
  <cdr:relSizeAnchor xmlns:cdr="http://schemas.openxmlformats.org/drawingml/2006/chartDrawing">
    <cdr:from>
      <cdr:x>0.82925</cdr:x>
      <cdr:y>0.118</cdr:y>
    </cdr:from>
    <cdr:to>
      <cdr:x>0.9</cdr:x>
      <cdr:y>0.563</cdr:y>
    </cdr:to>
    <cdr:sp>
      <cdr:nvSpPr>
        <cdr:cNvPr id="3" name="Line 5"/>
        <cdr:cNvSpPr>
          <a:spLocks/>
        </cdr:cNvSpPr>
      </cdr:nvSpPr>
      <cdr:spPr>
        <a:xfrm flipH="1">
          <a:off x="8048625" y="581025"/>
          <a:ext cx="685800" cy="2219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0.03175</cdr:x>
      <cdr:y>0.09625</cdr:y>
    </cdr:from>
    <cdr:to>
      <cdr:x>0.08925</cdr:x>
      <cdr:y>0.13325</cdr:y>
    </cdr:to>
    <cdr:sp>
      <cdr:nvSpPr>
        <cdr:cNvPr id="4" name="TextBox 7"/>
        <cdr:cNvSpPr txBox="1">
          <a:spLocks noChangeArrowheads="1"/>
        </cdr:cNvSpPr>
      </cdr:nvSpPr>
      <cdr:spPr>
        <a:xfrm>
          <a:off x="304800" y="476250"/>
          <a:ext cx="5619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DM</a:t>
          </a:r>
        </a:p>
      </cdr:txBody>
    </cdr:sp>
  </cdr:relSizeAnchor>
  <cdr:relSizeAnchor xmlns:cdr="http://schemas.openxmlformats.org/drawingml/2006/chartDrawing">
    <cdr:from>
      <cdr:x>0</cdr:x>
      <cdr:y>0.9115</cdr:y>
    </cdr:from>
    <cdr:to>
      <cdr:x>0.06925</cdr:x>
      <cdr:y>1</cdr:y>
    </cdr:to>
    <cdr:sp>
      <cdr:nvSpPr>
        <cdr:cNvPr id="5" name="TextBox 8"/>
        <cdr:cNvSpPr txBox="1">
          <a:spLocks noChangeArrowheads="1"/>
        </cdr:cNvSpPr>
      </cdr:nvSpPr>
      <cdr:spPr>
        <a:xfrm>
          <a:off x="0" y="4543425"/>
          <a:ext cx="6762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Quelle: 
Statistisches
Bundesamt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4991100"/>
    <xdr:graphicFrame>
      <xdr:nvGraphicFramePr>
        <xdr:cNvPr id="1" name="Shape 1025"/>
        <xdr:cNvGraphicFramePr/>
      </xdr:nvGraphicFramePr>
      <xdr:xfrm>
        <a:off x="0" y="0"/>
        <a:ext cx="971550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4991100"/>
    <xdr:graphicFrame>
      <xdr:nvGraphicFramePr>
        <xdr:cNvPr id="1" name="Shape 1025"/>
        <xdr:cNvGraphicFramePr/>
      </xdr:nvGraphicFramePr>
      <xdr:xfrm>
        <a:off x="0" y="0"/>
        <a:ext cx="971550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0.01575</cdr:x>
      <cdr:y>0.87275</cdr:y>
    </cdr:from>
    <cdr:to>
      <cdr:x>0.06425</cdr:x>
      <cdr:y>0.94475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" y="4352925"/>
          <a:ext cx="4667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Quelle: 
Statistisches
Bundesamt</a:t>
          </a:r>
        </a:p>
      </cdr:txBody>
    </cdr:sp>
  </cdr:relSizeAnchor>
  <cdr:relSizeAnchor xmlns:cdr="http://schemas.openxmlformats.org/drawingml/2006/chartDrawing">
    <cdr:from>
      <cdr:x>0.01575</cdr:x>
      <cdr:y>0.087</cdr:y>
    </cdr:from>
    <cdr:to>
      <cdr:x>0.17525</cdr:x>
      <cdr:y>0.155</cdr:y>
    </cdr:to>
    <cdr:sp>
      <cdr:nvSpPr>
        <cdr:cNvPr id="2" name="TextBox 2"/>
        <cdr:cNvSpPr txBox="1">
          <a:spLocks noChangeArrowheads="1"/>
        </cdr:cNvSpPr>
      </cdr:nvSpPr>
      <cdr:spPr>
        <a:xfrm>
          <a:off x="152400" y="428625"/>
          <a:ext cx="15525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M1 in DM
Einkünfte in 1/1.000.000 DM</a:t>
          </a:r>
        </a:p>
      </cdr:txBody>
    </cdr:sp>
  </cdr:relSizeAnchor>
  <cdr:relSizeAnchor xmlns:cdr="http://schemas.openxmlformats.org/drawingml/2006/chartDrawing">
    <cdr:from>
      <cdr:x>0.903</cdr:x>
      <cdr:y>0.106</cdr:y>
    </cdr:from>
    <cdr:to>
      <cdr:x>0.96825</cdr:x>
      <cdr:y>0.16625</cdr:y>
    </cdr:to>
    <cdr:sp>
      <cdr:nvSpPr>
        <cdr:cNvPr id="3" name="TextBox 3"/>
        <cdr:cNvSpPr txBox="1">
          <a:spLocks noChangeArrowheads="1"/>
        </cdr:cNvSpPr>
      </cdr:nvSpPr>
      <cdr:spPr>
        <a:xfrm>
          <a:off x="8772525" y="523875"/>
          <a:ext cx="6381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Anteil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4991100"/>
    <xdr:graphicFrame>
      <xdr:nvGraphicFramePr>
        <xdr:cNvPr id="1" name="Shape 1025"/>
        <xdr:cNvGraphicFramePr/>
      </xdr:nvGraphicFramePr>
      <xdr:xfrm>
        <a:off x="0" y="0"/>
        <a:ext cx="971550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0.01625</cdr:x>
      <cdr:y>0.87025</cdr:y>
    </cdr:from>
    <cdr:to>
      <cdr:x>0.0845</cdr:x>
      <cdr:y>0.9695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" y="4343400"/>
          <a:ext cx="6667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Quelle: 
Statistisches
Bundesamt</a:t>
          </a:r>
        </a:p>
      </cdr:txBody>
    </cdr:sp>
  </cdr:relSizeAnchor>
  <cdr:relSizeAnchor xmlns:cdr="http://schemas.openxmlformats.org/drawingml/2006/chartDrawing">
    <cdr:from>
      <cdr:x>0.02675</cdr:x>
      <cdr:y>0.087</cdr:y>
    </cdr:from>
    <cdr:to>
      <cdr:x>0.16725</cdr:x>
      <cdr:y>0.155</cdr:y>
    </cdr:to>
    <cdr:sp>
      <cdr:nvSpPr>
        <cdr:cNvPr id="2" name="TextBox 2"/>
        <cdr:cNvSpPr txBox="1">
          <a:spLocks noChangeArrowheads="1"/>
        </cdr:cNvSpPr>
      </cdr:nvSpPr>
      <cdr:spPr>
        <a:xfrm>
          <a:off x="257175" y="428625"/>
          <a:ext cx="13620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M1 in DM
Einkünfte in 1/10.000 DM</a:t>
          </a:r>
        </a:p>
      </cdr:txBody>
    </cdr:sp>
  </cdr:relSizeAnchor>
  <cdr:relSizeAnchor xmlns:cdr="http://schemas.openxmlformats.org/drawingml/2006/chartDrawing">
    <cdr:from>
      <cdr:x>0.9005</cdr:x>
      <cdr:y>0.105</cdr:y>
    </cdr:from>
    <cdr:to>
      <cdr:x>0.96575</cdr:x>
      <cdr:y>0.16525</cdr:y>
    </cdr:to>
    <cdr:sp>
      <cdr:nvSpPr>
        <cdr:cNvPr id="3" name="TextBox 3"/>
        <cdr:cNvSpPr txBox="1">
          <a:spLocks noChangeArrowheads="1"/>
        </cdr:cNvSpPr>
      </cdr:nvSpPr>
      <cdr:spPr>
        <a:xfrm>
          <a:off x="8743950" y="523875"/>
          <a:ext cx="6381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Anteil</a:t>
          </a:r>
        </a:p>
      </cdr:txBody>
    </cdr:sp>
  </cdr:relSizeAnchor>
  <cdr:relSizeAnchor xmlns:cdr="http://schemas.openxmlformats.org/drawingml/2006/chartDrawing">
    <cdr:from>
      <cdr:x>0.809</cdr:x>
      <cdr:y>0.08725</cdr:y>
    </cdr:from>
    <cdr:to>
      <cdr:x>0.892</cdr:x>
      <cdr:y>0.665</cdr:y>
    </cdr:to>
    <cdr:sp>
      <cdr:nvSpPr>
        <cdr:cNvPr id="4" name="Line 4"/>
        <cdr:cNvSpPr>
          <a:spLocks/>
        </cdr:cNvSpPr>
      </cdr:nvSpPr>
      <cdr:spPr>
        <a:xfrm flipH="1">
          <a:off x="7858125" y="428625"/>
          <a:ext cx="809625" cy="2886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0.86075</cdr:x>
      <cdr:y>0</cdr:y>
    </cdr:from>
    <cdr:to>
      <cdr:x>1</cdr:x>
      <cdr:y>0.0895</cdr:y>
    </cdr:to>
    <cdr:sp>
      <cdr:nvSpPr>
        <cdr:cNvPr id="5" name="TextBox 5"/>
        <cdr:cNvSpPr txBox="1">
          <a:spLocks noChangeArrowheads="1"/>
        </cdr:cNvSpPr>
      </cdr:nvSpPr>
      <cdr:spPr>
        <a:xfrm>
          <a:off x="8353425" y="0"/>
          <a:ext cx="13525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Neue Abschreibungs- 
möglichkeiten  durch die neuen Bundesländer</a:t>
          </a:r>
        </a:p>
      </cdr:txBody>
    </cdr:sp>
  </cdr:relSizeAnchor>
  <cdr:relSizeAnchor xmlns:cdr="http://schemas.openxmlformats.org/drawingml/2006/chartDrawing">
    <cdr:from>
      <cdr:x>0.86625</cdr:x>
      <cdr:y>0.08725</cdr:y>
    </cdr:from>
    <cdr:to>
      <cdr:x>0.892</cdr:x>
      <cdr:y>0.69025</cdr:y>
    </cdr:to>
    <cdr:sp>
      <cdr:nvSpPr>
        <cdr:cNvPr id="6" name="Line 6"/>
        <cdr:cNvSpPr>
          <a:spLocks/>
        </cdr:cNvSpPr>
      </cdr:nvSpPr>
      <cdr:spPr>
        <a:xfrm flipH="1">
          <a:off x="8410575" y="428625"/>
          <a:ext cx="247650" cy="3009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4991100"/>
    <xdr:graphicFrame>
      <xdr:nvGraphicFramePr>
        <xdr:cNvPr id="1" name="Shape 1025"/>
        <xdr:cNvGraphicFramePr/>
      </xdr:nvGraphicFramePr>
      <xdr:xfrm>
        <a:off x="0" y="0"/>
        <a:ext cx="971550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0.01675</cdr:x>
      <cdr:y>0.87025</cdr:y>
    </cdr:from>
    <cdr:to>
      <cdr:x>0.085</cdr:x>
      <cdr:y>0.9695</cdr:y>
    </cdr:to>
    <cdr:sp>
      <cdr:nvSpPr>
        <cdr:cNvPr id="1" name="TextBox 4"/>
        <cdr:cNvSpPr txBox="1">
          <a:spLocks noChangeArrowheads="1"/>
        </cdr:cNvSpPr>
      </cdr:nvSpPr>
      <cdr:spPr>
        <a:xfrm>
          <a:off x="161925" y="4343400"/>
          <a:ext cx="6667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Quelle: 
Statistisches
Bundesamt</a:t>
          </a:r>
        </a:p>
      </cdr:txBody>
    </cdr:sp>
  </cdr:relSizeAnchor>
  <cdr:relSizeAnchor xmlns:cdr="http://schemas.openxmlformats.org/drawingml/2006/chartDrawing">
    <cdr:from>
      <cdr:x>0.01675</cdr:x>
      <cdr:y>0.087</cdr:y>
    </cdr:from>
    <cdr:to>
      <cdr:x>0.184</cdr:x>
      <cdr:y>0.155</cdr:y>
    </cdr:to>
    <cdr:sp>
      <cdr:nvSpPr>
        <cdr:cNvPr id="2" name="TextBox 5"/>
        <cdr:cNvSpPr txBox="1">
          <a:spLocks noChangeArrowheads="1"/>
        </cdr:cNvSpPr>
      </cdr:nvSpPr>
      <cdr:spPr>
        <a:xfrm>
          <a:off x="161925" y="428625"/>
          <a:ext cx="16287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M3 in DM
Einkünfte in 1/1.000.000 DM</a:t>
          </a:r>
        </a:p>
      </cdr:txBody>
    </cdr:sp>
  </cdr:relSizeAnchor>
  <cdr:relSizeAnchor xmlns:cdr="http://schemas.openxmlformats.org/drawingml/2006/chartDrawing">
    <cdr:from>
      <cdr:x>0.9005</cdr:x>
      <cdr:y>0.105</cdr:y>
    </cdr:from>
    <cdr:to>
      <cdr:x>0.96575</cdr:x>
      <cdr:y>0.16525</cdr:y>
    </cdr:to>
    <cdr:sp>
      <cdr:nvSpPr>
        <cdr:cNvPr id="3" name="TextBox 6"/>
        <cdr:cNvSpPr txBox="1">
          <a:spLocks noChangeArrowheads="1"/>
        </cdr:cNvSpPr>
      </cdr:nvSpPr>
      <cdr:spPr>
        <a:xfrm>
          <a:off x="8743950" y="523875"/>
          <a:ext cx="6381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Anteil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4991100"/>
    <xdr:graphicFrame>
      <xdr:nvGraphicFramePr>
        <xdr:cNvPr id="1" name="Shape 1025"/>
        <xdr:cNvGraphicFramePr/>
      </xdr:nvGraphicFramePr>
      <xdr:xfrm>
        <a:off x="0" y="0"/>
        <a:ext cx="971550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0.87025</cdr:y>
    </cdr:from>
    <cdr:to>
      <cdr:x>0.086</cdr:x>
      <cdr:y>0.9695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" y="4343400"/>
          <a:ext cx="6667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Quelle: 
Statistisches
Bundesamt</a:t>
          </a:r>
        </a:p>
      </cdr:txBody>
    </cdr:sp>
  </cdr:relSizeAnchor>
  <cdr:relSizeAnchor xmlns:cdr="http://schemas.openxmlformats.org/drawingml/2006/chartDrawing">
    <cdr:from>
      <cdr:x>0.02925</cdr:x>
      <cdr:y>0.087</cdr:y>
    </cdr:from>
    <cdr:to>
      <cdr:x>0.17575</cdr:x>
      <cdr:y>0.155</cdr:y>
    </cdr:to>
    <cdr:sp>
      <cdr:nvSpPr>
        <cdr:cNvPr id="2" name="TextBox 2"/>
        <cdr:cNvSpPr txBox="1">
          <a:spLocks noChangeArrowheads="1"/>
        </cdr:cNvSpPr>
      </cdr:nvSpPr>
      <cdr:spPr>
        <a:xfrm>
          <a:off x="276225" y="428625"/>
          <a:ext cx="14192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M3 in DM
Einkünfte in 1/10.000 DM</a:t>
          </a:r>
        </a:p>
      </cdr:txBody>
    </cdr:sp>
  </cdr:relSizeAnchor>
  <cdr:relSizeAnchor xmlns:cdr="http://schemas.openxmlformats.org/drawingml/2006/chartDrawing">
    <cdr:from>
      <cdr:x>0.9005</cdr:x>
      <cdr:y>0.105</cdr:y>
    </cdr:from>
    <cdr:to>
      <cdr:x>0.96575</cdr:x>
      <cdr:y>0.16525</cdr:y>
    </cdr:to>
    <cdr:sp>
      <cdr:nvSpPr>
        <cdr:cNvPr id="3" name="TextBox 3"/>
        <cdr:cNvSpPr txBox="1">
          <a:spLocks noChangeArrowheads="1"/>
        </cdr:cNvSpPr>
      </cdr:nvSpPr>
      <cdr:spPr>
        <a:xfrm>
          <a:off x="8743950" y="523875"/>
          <a:ext cx="6381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Anteil</a:t>
          </a:r>
        </a:p>
      </cdr:txBody>
    </cdr:sp>
  </cdr:relSizeAnchor>
  <cdr:relSizeAnchor xmlns:cdr="http://schemas.openxmlformats.org/drawingml/2006/chartDrawing">
    <cdr:from>
      <cdr:x>0.805</cdr:x>
      <cdr:y>0.1045</cdr:y>
    </cdr:from>
    <cdr:to>
      <cdr:x>0.88825</cdr:x>
      <cdr:y>0.6315</cdr:y>
    </cdr:to>
    <cdr:sp>
      <cdr:nvSpPr>
        <cdr:cNvPr id="4" name="Line 4"/>
        <cdr:cNvSpPr>
          <a:spLocks/>
        </cdr:cNvSpPr>
      </cdr:nvSpPr>
      <cdr:spPr>
        <a:xfrm flipH="1">
          <a:off x="7820025" y="514350"/>
          <a:ext cx="809625" cy="2628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0.86825</cdr:x>
      <cdr:y>0.1045</cdr:y>
    </cdr:from>
    <cdr:to>
      <cdr:x>0.88825</cdr:x>
      <cdr:y>0.6615</cdr:y>
    </cdr:to>
    <cdr:sp>
      <cdr:nvSpPr>
        <cdr:cNvPr id="5" name="Line 6"/>
        <cdr:cNvSpPr>
          <a:spLocks/>
        </cdr:cNvSpPr>
      </cdr:nvSpPr>
      <cdr:spPr>
        <a:xfrm flipH="1">
          <a:off x="8429625" y="514350"/>
          <a:ext cx="190500" cy="2781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0.8605</cdr:x>
      <cdr:y>0</cdr:y>
    </cdr:from>
    <cdr:to>
      <cdr:x>1</cdr:x>
      <cdr:y>0.0895</cdr:y>
    </cdr:to>
    <cdr:sp>
      <cdr:nvSpPr>
        <cdr:cNvPr id="6" name="TextBox 7"/>
        <cdr:cNvSpPr txBox="1">
          <a:spLocks noChangeArrowheads="1"/>
        </cdr:cNvSpPr>
      </cdr:nvSpPr>
      <cdr:spPr>
        <a:xfrm>
          <a:off x="8353425" y="0"/>
          <a:ext cx="13525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Neue Abschreibungs- 
möglichkeiten  durch die neuen Bundesländer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75"/>
  <sheetViews>
    <sheetView workbookViewId="0" topLeftCell="A1">
      <selection activeCell="A1" sqref="A1:E1"/>
    </sheetView>
  </sheetViews>
  <sheetFormatPr defaultColWidth="11.421875" defaultRowHeight="12.75"/>
  <cols>
    <col min="1" max="1" width="29.421875" style="0" customWidth="1"/>
    <col min="2" max="7" width="16.7109375" style="0" customWidth="1"/>
    <col min="8" max="8" width="18.28125" style="0" customWidth="1"/>
    <col min="9" max="11" width="16.7109375" style="0" customWidth="1"/>
    <col min="12" max="12" width="17.8515625" style="0" customWidth="1"/>
    <col min="13" max="49" width="16.7109375" style="0" customWidth="1"/>
  </cols>
  <sheetData>
    <row r="1" spans="1:5" ht="32.25" customHeight="1">
      <c r="A1" s="52" t="s">
        <v>27</v>
      </c>
      <c r="B1" s="53"/>
      <c r="C1" s="53"/>
      <c r="D1" s="53"/>
      <c r="E1" s="53"/>
    </row>
    <row r="2" spans="1:5" ht="12.75">
      <c r="A2" s="54" t="s">
        <v>16</v>
      </c>
      <c r="B2" s="55"/>
      <c r="C2" s="55"/>
      <c r="D2" s="55"/>
      <c r="E2" s="55"/>
    </row>
    <row r="3" spans="2:49" ht="12.75">
      <c r="B3" s="15">
        <v>1961</v>
      </c>
      <c r="C3" s="32" t="s">
        <v>14</v>
      </c>
      <c r="D3" s="16"/>
      <c r="E3" s="17"/>
      <c r="F3" s="15">
        <v>1965</v>
      </c>
      <c r="G3" s="32" t="s">
        <v>15</v>
      </c>
      <c r="H3" s="16"/>
      <c r="I3" s="17"/>
      <c r="J3" s="15">
        <v>1968</v>
      </c>
      <c r="K3" s="32" t="s">
        <v>17</v>
      </c>
      <c r="L3" s="16"/>
      <c r="M3" s="17"/>
      <c r="N3" s="15">
        <v>1971</v>
      </c>
      <c r="O3" s="32" t="s">
        <v>18</v>
      </c>
      <c r="P3" s="16"/>
      <c r="Q3" s="17"/>
      <c r="R3" s="15">
        <v>1974</v>
      </c>
      <c r="S3" s="32" t="s">
        <v>19</v>
      </c>
      <c r="T3" s="16"/>
      <c r="U3" s="17"/>
      <c r="V3" s="15">
        <v>1977</v>
      </c>
      <c r="W3" s="32" t="s">
        <v>20</v>
      </c>
      <c r="X3" s="16"/>
      <c r="Y3" s="17"/>
      <c r="Z3" s="15">
        <v>1980</v>
      </c>
      <c r="AA3" s="32" t="s">
        <v>21</v>
      </c>
      <c r="AB3" s="16"/>
      <c r="AC3" s="17"/>
      <c r="AD3" s="15">
        <v>1983</v>
      </c>
      <c r="AE3" s="32" t="s">
        <v>22</v>
      </c>
      <c r="AF3" s="16"/>
      <c r="AG3" s="17"/>
      <c r="AH3" s="15">
        <v>1986</v>
      </c>
      <c r="AI3" s="32" t="s">
        <v>23</v>
      </c>
      <c r="AJ3" s="16"/>
      <c r="AK3" s="17"/>
      <c r="AL3" s="15">
        <v>1989</v>
      </c>
      <c r="AM3" s="32" t="s">
        <v>24</v>
      </c>
      <c r="AN3" s="16"/>
      <c r="AO3" s="17"/>
      <c r="AP3" s="15">
        <v>1992</v>
      </c>
      <c r="AQ3" s="32" t="s">
        <v>25</v>
      </c>
      <c r="AR3" s="16"/>
      <c r="AS3" s="17"/>
      <c r="AT3" s="15">
        <v>1995</v>
      </c>
      <c r="AU3" s="32" t="s">
        <v>26</v>
      </c>
      <c r="AV3" s="16"/>
      <c r="AW3" s="17"/>
    </row>
    <row r="4" spans="1:49" ht="12.75">
      <c r="A4" t="s">
        <v>0</v>
      </c>
      <c r="B4" s="18" t="s">
        <v>4</v>
      </c>
      <c r="C4" s="6"/>
      <c r="D4" s="19" t="s">
        <v>5</v>
      </c>
      <c r="E4" s="20" t="s">
        <v>3</v>
      </c>
      <c r="F4" s="18" t="s">
        <v>4</v>
      </c>
      <c r="G4" s="6"/>
      <c r="H4" s="19" t="s">
        <v>5</v>
      </c>
      <c r="I4" s="20" t="s">
        <v>3</v>
      </c>
      <c r="J4" s="18" t="s">
        <v>4</v>
      </c>
      <c r="K4" s="6"/>
      <c r="L4" s="19" t="s">
        <v>5</v>
      </c>
      <c r="M4" s="20" t="s">
        <v>3</v>
      </c>
      <c r="N4" s="18" t="s">
        <v>4</v>
      </c>
      <c r="O4" s="6"/>
      <c r="P4" s="19" t="s">
        <v>5</v>
      </c>
      <c r="Q4" s="20" t="s">
        <v>3</v>
      </c>
      <c r="R4" s="18" t="s">
        <v>4</v>
      </c>
      <c r="S4" s="6"/>
      <c r="T4" s="19" t="s">
        <v>5</v>
      </c>
      <c r="U4" s="20" t="s">
        <v>3</v>
      </c>
      <c r="V4" s="18" t="s">
        <v>4</v>
      </c>
      <c r="W4" s="6"/>
      <c r="X4" s="19" t="s">
        <v>5</v>
      </c>
      <c r="Y4" s="20" t="s">
        <v>3</v>
      </c>
      <c r="Z4" s="18" t="s">
        <v>4</v>
      </c>
      <c r="AA4" s="6"/>
      <c r="AB4" s="19" t="s">
        <v>5</v>
      </c>
      <c r="AC4" s="20" t="s">
        <v>3</v>
      </c>
      <c r="AD4" s="18" t="s">
        <v>4</v>
      </c>
      <c r="AE4" s="6"/>
      <c r="AF4" s="19" t="s">
        <v>5</v>
      </c>
      <c r="AG4" s="20" t="s">
        <v>3</v>
      </c>
      <c r="AH4" s="18" t="s">
        <v>4</v>
      </c>
      <c r="AI4" s="6"/>
      <c r="AJ4" s="19" t="s">
        <v>5</v>
      </c>
      <c r="AK4" s="20" t="s">
        <v>3</v>
      </c>
      <c r="AL4" s="18" t="s">
        <v>4</v>
      </c>
      <c r="AM4" s="6"/>
      <c r="AN4" s="19" t="s">
        <v>5</v>
      </c>
      <c r="AO4" s="20" t="s">
        <v>3</v>
      </c>
      <c r="AP4" s="18" t="s">
        <v>4</v>
      </c>
      <c r="AQ4" s="6"/>
      <c r="AR4" s="19" t="s">
        <v>5</v>
      </c>
      <c r="AS4" s="20" t="s">
        <v>3</v>
      </c>
      <c r="AT4" s="18" t="s">
        <v>4</v>
      </c>
      <c r="AU4" s="6"/>
      <c r="AV4" s="19" t="s">
        <v>5</v>
      </c>
      <c r="AW4" s="20" t="s">
        <v>3</v>
      </c>
    </row>
    <row r="5" spans="1:49" ht="12.75">
      <c r="A5" s="1">
        <v>1</v>
      </c>
      <c r="B5" s="21"/>
      <c r="C5" s="22">
        <f aca="true" t="shared" si="0" ref="C5:C11">C6+B5</f>
        <v>22218600</v>
      </c>
      <c r="D5" s="23"/>
      <c r="E5" s="24"/>
      <c r="F5" s="21">
        <v>1109700</v>
      </c>
      <c r="G5" s="22">
        <f aca="true" t="shared" si="1" ref="G5:G11">G6+F5</f>
        <v>23264200</v>
      </c>
      <c r="H5" s="23">
        <v>-8100</v>
      </c>
      <c r="I5" s="24">
        <f aca="true" t="shared" si="2" ref="I5:I15">H5*1000/F5</f>
        <v>-7.299270072992701</v>
      </c>
      <c r="J5" s="21">
        <v>1330100</v>
      </c>
      <c r="K5" s="22">
        <f aca="true" t="shared" si="3" ref="K5:K11">K6+J5</f>
        <v>20647400</v>
      </c>
      <c r="L5" s="23">
        <v>-972400</v>
      </c>
      <c r="M5" s="24">
        <f aca="true" t="shared" si="4" ref="M5:M15">L5*1000/J5</f>
        <v>-731.0728516652883</v>
      </c>
      <c r="N5" s="21">
        <v>1258400</v>
      </c>
      <c r="O5" s="22">
        <f aca="true" t="shared" si="5" ref="O5:O11">O6+N5</f>
        <v>22335720</v>
      </c>
      <c r="P5" s="23">
        <v>-1280100</v>
      </c>
      <c r="Q5" s="24">
        <f aca="true" t="shared" si="6" ref="Q5:Q15">P5*1000/N5</f>
        <v>-1017.2441195168468</v>
      </c>
      <c r="R5" s="21">
        <v>1111400</v>
      </c>
      <c r="S5" s="22">
        <f aca="true" t="shared" si="7" ref="S5:S11">S6+R5</f>
        <v>22802263</v>
      </c>
      <c r="T5" s="23">
        <v>-3695600</v>
      </c>
      <c r="U5" s="24">
        <f aca="true" t="shared" si="8" ref="U5:U15">T5*1000/R5</f>
        <v>-3325.1754543818606</v>
      </c>
      <c r="V5" s="21">
        <v>1386800</v>
      </c>
      <c r="W5" s="22">
        <f aca="true" t="shared" si="9" ref="W5:W11">W6+V5</f>
        <v>22002500</v>
      </c>
      <c r="X5" s="23">
        <v>-2035400</v>
      </c>
      <c r="Y5" s="24">
        <f aca="true" t="shared" si="10" ref="Y5:Y15">X5*1000/V5</f>
        <v>-1467.6954139025095</v>
      </c>
      <c r="Z5" s="21">
        <v>1619000</v>
      </c>
      <c r="AA5" s="22">
        <f aca="true" t="shared" si="11" ref="AA5:AA11">AA6+Z5</f>
        <v>23077200</v>
      </c>
      <c r="AB5" s="23">
        <v>-2253500</v>
      </c>
      <c r="AC5" s="24">
        <f aca="true" t="shared" si="12" ref="AC5:AC15">AB5*1000/Z5</f>
        <v>-1391.9085855466337</v>
      </c>
      <c r="AD5" s="21">
        <v>1750400</v>
      </c>
      <c r="AE5" s="22">
        <f aca="true" t="shared" si="13" ref="AE5:AE11">AE6+AD5</f>
        <v>23566000</v>
      </c>
      <c r="AF5" s="23">
        <v>-5016500</v>
      </c>
      <c r="AG5" s="24">
        <f aca="true" t="shared" si="14" ref="AG5:AG15">AF5*1000/AD5</f>
        <v>-2865.916361974406</v>
      </c>
      <c r="AH5" s="21">
        <v>509400</v>
      </c>
      <c r="AI5" s="22">
        <f aca="true" t="shared" si="15" ref="AI5:AI11">AI6+AH5</f>
        <v>23405031</v>
      </c>
      <c r="AJ5" s="23">
        <v>-3774900</v>
      </c>
      <c r="AK5" s="24">
        <f aca="true" t="shared" si="16" ref="AK5:AK15">AJ5*1000/AH5</f>
        <v>-7410.482921083628</v>
      </c>
      <c r="AL5" s="21">
        <v>857881</v>
      </c>
      <c r="AM5" s="22">
        <f aca="true" t="shared" si="17" ref="AM5:AM11">AM6+AL5</f>
        <v>23978392</v>
      </c>
      <c r="AN5" s="23">
        <v>-2363504</v>
      </c>
      <c r="AO5" s="24">
        <f aca="true" t="shared" si="18" ref="AO5:AO15">AN5*1000/AL5</f>
        <v>-2755.048777161401</v>
      </c>
      <c r="AP5" s="21">
        <v>1922533</v>
      </c>
      <c r="AQ5" s="22">
        <f aca="true" t="shared" si="19" ref="AQ5:AQ11">AQ6+AP5</f>
        <v>29478827</v>
      </c>
      <c r="AR5" s="23">
        <v>-9835099</v>
      </c>
      <c r="AS5" s="24">
        <f aca="true" t="shared" si="20" ref="AS5:AS15">AR5*1000/AP5</f>
        <v>-5115.698404136626</v>
      </c>
      <c r="AT5" s="21">
        <v>2069210</v>
      </c>
      <c r="AU5" s="22">
        <f aca="true" t="shared" si="21" ref="AU5:AU11">AU6+AT5</f>
        <v>29752289</v>
      </c>
      <c r="AV5" s="23">
        <v>-14948000</v>
      </c>
      <c r="AW5" s="24">
        <f aca="true" t="shared" si="22" ref="AW5:AW14">AV5*1000/AT5</f>
        <v>-7224.013029127058</v>
      </c>
    </row>
    <row r="6" spans="1:49" ht="12.75">
      <c r="A6" s="1">
        <v>25000</v>
      </c>
      <c r="B6" s="21">
        <f>3035800+2244800+4372900+6946800+3432100+994500+660200</f>
        <v>21687100</v>
      </c>
      <c r="C6" s="22">
        <f t="shared" si="0"/>
        <v>22218600</v>
      </c>
      <c r="D6" s="23">
        <f>1562900+5144100+18032900+44380900+32333600+13361400+12706200</f>
        <v>127522000</v>
      </c>
      <c r="E6" s="24">
        <f aca="true" t="shared" si="23" ref="E6:E11">D6*1000/B6</f>
        <v>5880.085396387714</v>
      </c>
      <c r="F6" s="21">
        <f>1850700+1548900+2562500+5348500+6435400+2146100+1373800</f>
        <v>21265900</v>
      </c>
      <c r="G6" s="22">
        <f t="shared" si="1"/>
        <v>22154500</v>
      </c>
      <c r="H6" s="23">
        <f>1266900+3555800+10391700+35161400+62844900+29161300+26900700</f>
        <v>169282700</v>
      </c>
      <c r="I6" s="24">
        <f t="shared" si="2"/>
        <v>7960.288537047574</v>
      </c>
      <c r="J6" s="21">
        <f>1261300+842100+1366600+2995900+5134300+3609500+2878600+896900</f>
        <v>18985200</v>
      </c>
      <c r="K6" s="22">
        <f t="shared" si="3"/>
        <v>19317300</v>
      </c>
      <c r="L6" s="23">
        <f>913800+1908700+5537000+19857600+51351300+49833700+55669400+29506100</f>
        <v>214577600</v>
      </c>
      <c r="M6" s="24">
        <f t="shared" si="4"/>
        <v>11302.361839748857</v>
      </c>
      <c r="N6" s="21">
        <f>963600+772000+858500+1691000+3113700+3830700+6032900</f>
        <v>17262400</v>
      </c>
      <c r="O6" s="22">
        <f t="shared" si="5"/>
        <v>21077320</v>
      </c>
      <c r="P6" s="23">
        <f>662600+1700000+3482500+11131100+31594500+53794400+119963700</f>
        <v>222328800</v>
      </c>
      <c r="Q6" s="24">
        <f t="shared" si="6"/>
        <v>12879.367874687181</v>
      </c>
      <c r="R6" s="21">
        <f>884500+581900+876800+1185700+1795000+2280300+5986100</f>
        <v>13590300</v>
      </c>
      <c r="S6" s="22">
        <f t="shared" si="7"/>
        <v>21690863</v>
      </c>
      <c r="T6" s="23">
        <f>594900+1325800+3515900+7848400+18113100+32223700+122481500</f>
        <v>186103300</v>
      </c>
      <c r="U6" s="24">
        <f t="shared" si="8"/>
        <v>13693.83310155037</v>
      </c>
      <c r="V6" s="21">
        <f>656700+485300+855000+1054500+1310500+1467000+4602900</f>
        <v>10431900</v>
      </c>
      <c r="W6" s="22">
        <f t="shared" si="9"/>
        <v>20615700</v>
      </c>
      <c r="X6" s="23">
        <f>448000+1094900+3470700+6755200+13147600+20617900+95285800</f>
        <v>140820100</v>
      </c>
      <c r="Y6" s="24">
        <f t="shared" si="10"/>
        <v>13498.988678955895</v>
      </c>
      <c r="Z6" s="21">
        <f>1410200+1406400+1154000+1186600+3557400</f>
        <v>8714600</v>
      </c>
      <c r="AA6" s="22">
        <f t="shared" si="11"/>
        <v>21458200</v>
      </c>
      <c r="AB6" s="23">
        <f>2555900+8321500+11509100+16652800+73988800</f>
        <v>113028100</v>
      </c>
      <c r="AC6" s="24">
        <f t="shared" si="12"/>
        <v>12969.969935510522</v>
      </c>
      <c r="AD6" s="21">
        <f>1437700+1402600+1161200+1101700+1204200+1809700</f>
        <v>8117100</v>
      </c>
      <c r="AE6" s="22">
        <f t="shared" si="13"/>
        <v>21815600</v>
      </c>
      <c r="AF6" s="23">
        <f>2566600+8472700+11577200+15424800+21733300+40898400</f>
        <v>100673000</v>
      </c>
      <c r="AG6" s="24">
        <f t="shared" si="14"/>
        <v>12402.582203003536</v>
      </c>
      <c r="AH6" s="21">
        <f>1445193+1455501+1240466+1110656+1133458+1629443</f>
        <v>8014717</v>
      </c>
      <c r="AI6" s="22">
        <f t="shared" si="15"/>
        <v>22895631</v>
      </c>
      <c r="AJ6" s="23">
        <f>2611324+8889209+12310854+15492707+20431480+36787063</f>
        <v>96522637</v>
      </c>
      <c r="AK6" s="24">
        <f t="shared" si="16"/>
        <v>12043.174699742985</v>
      </c>
      <c r="AL6" s="21">
        <f>1300621+1677378+1318591+1232530+1347534</f>
        <v>6876654</v>
      </c>
      <c r="AM6" s="22">
        <f t="shared" si="17"/>
        <v>23120511</v>
      </c>
      <c r="AN6" s="23">
        <f>3533986+12614997+16373103+21572883+30381107</f>
        <v>84476076</v>
      </c>
      <c r="AO6" s="24">
        <f t="shared" si="18"/>
        <v>12284.47381531774</v>
      </c>
      <c r="AP6" s="21">
        <f>1318436+1440809+1502930+1300745+1383068</f>
        <v>6945988</v>
      </c>
      <c r="AQ6" s="22">
        <f t="shared" si="19"/>
        <v>27556294</v>
      </c>
      <c r="AR6" s="23">
        <f>3389981+10959206+18650107+22728228+31172162</f>
        <v>86899684</v>
      </c>
      <c r="AS6" s="24">
        <f t="shared" si="20"/>
        <v>12510.773701307862</v>
      </c>
      <c r="AT6" s="21">
        <f>1145008+1274868+1489169+1309984+1227877</f>
        <v>6446906</v>
      </c>
      <c r="AU6" s="22">
        <f t="shared" si="21"/>
        <v>27683079</v>
      </c>
      <c r="AV6" s="23">
        <f>(2954+9680+18586+22810+27624)*1000</f>
        <v>81654000</v>
      </c>
      <c r="AW6" s="24">
        <f t="shared" si="22"/>
        <v>12665.61044941558</v>
      </c>
    </row>
    <row r="7" spans="1:49" ht="12.75">
      <c r="A7" s="1">
        <v>100000</v>
      </c>
      <c r="B7" s="21">
        <f>350900+120700</f>
        <v>471600</v>
      </c>
      <c r="C7" s="22">
        <f t="shared" si="0"/>
        <v>531500</v>
      </c>
      <c r="D7" s="23">
        <f>11956900+8141100</f>
        <v>20098000</v>
      </c>
      <c r="E7" s="24">
        <f t="shared" si="23"/>
        <v>42616.62425784563</v>
      </c>
      <c r="F7" s="21">
        <f>600000+137400+57800</f>
        <v>795200</v>
      </c>
      <c r="G7" s="22">
        <f t="shared" si="1"/>
        <v>888600</v>
      </c>
      <c r="H7" s="23">
        <f>20184500+8305200+4963900</f>
        <v>33453600</v>
      </c>
      <c r="I7" s="24">
        <f t="shared" si="2"/>
        <v>42069.41649899397</v>
      </c>
      <c r="J7" s="21">
        <f>154200+66900</f>
        <v>221100</v>
      </c>
      <c r="K7" s="22">
        <f t="shared" si="3"/>
        <v>332100</v>
      </c>
      <c r="L7" s="23">
        <f>9305400+5760800</f>
        <v>15066200</v>
      </c>
      <c r="M7" s="24">
        <f t="shared" si="4"/>
        <v>68142.01718679331</v>
      </c>
      <c r="N7" s="21">
        <f>3183900+325700+111400</f>
        <v>3621000</v>
      </c>
      <c r="O7" s="22">
        <f t="shared" si="5"/>
        <v>3814920</v>
      </c>
      <c r="P7" s="23">
        <f>103375100+19403000+9572800</f>
        <v>132350900</v>
      </c>
      <c r="Q7" s="24">
        <f t="shared" si="6"/>
        <v>36550.925158795915</v>
      </c>
      <c r="R7" s="21">
        <f>6819000+828000+188700</f>
        <v>7835700</v>
      </c>
      <c r="S7" s="22">
        <f t="shared" si="7"/>
        <v>8100563</v>
      </c>
      <c r="T7" s="23">
        <f>230145900+48752300+16104900</f>
        <v>295003100</v>
      </c>
      <c r="U7" s="24">
        <f t="shared" si="8"/>
        <v>37648.595530711995</v>
      </c>
      <c r="V7" s="21">
        <f>7979700+1524200+314500</f>
        <v>9818400</v>
      </c>
      <c r="W7" s="22">
        <f t="shared" si="9"/>
        <v>10183800</v>
      </c>
      <c r="X7" s="23">
        <f>277429900+89592800+26757600</f>
        <v>393780300</v>
      </c>
      <c r="Y7" s="24">
        <f t="shared" si="10"/>
        <v>40106.361525299435</v>
      </c>
      <c r="Z7" s="21">
        <f>3301200+5596500+2705600+588700</f>
        <v>12192000</v>
      </c>
      <c r="AA7" s="22">
        <f t="shared" si="11"/>
        <v>12743600</v>
      </c>
      <c r="AB7" s="23">
        <f>94028500+223049600+160363100+49966200</f>
        <v>527407400</v>
      </c>
      <c r="AC7" s="24">
        <f t="shared" si="12"/>
        <v>43258.48097112861</v>
      </c>
      <c r="AD7" s="21">
        <f>2144700+4045000+2670000+1821900+1483700+871000</f>
        <v>13036300</v>
      </c>
      <c r="AE7" s="22">
        <f t="shared" si="13"/>
        <v>13698500</v>
      </c>
      <c r="AF7" s="23">
        <f>59055500+140525200+119266800+99575200+98587100+73915400</f>
        <v>590925200</v>
      </c>
      <c r="AG7" s="24">
        <f t="shared" si="14"/>
        <v>45329.21150940067</v>
      </c>
      <c r="AH7" s="21">
        <f>1915122+3997080+2926589+2007754+1869128+1239704</f>
        <v>13955377</v>
      </c>
      <c r="AI7" s="22">
        <f t="shared" si="15"/>
        <v>14880914</v>
      </c>
      <c r="AJ7" s="23">
        <f>52755423+139537186+130645559+109866418+124626692+105452857</f>
        <v>662884135</v>
      </c>
      <c r="AK7" s="24">
        <f t="shared" si="16"/>
        <v>47500.26710134739</v>
      </c>
      <c r="AL7" s="21">
        <f>1579334+3754162+3163821+2205547+2297899+1809563</f>
        <v>14810326</v>
      </c>
      <c r="AM7" s="22">
        <f t="shared" si="17"/>
        <v>16243857</v>
      </c>
      <c r="AN7" s="23">
        <f>43531913+131679515+141393334+120731785+153667694+154456938</f>
        <v>745461179</v>
      </c>
      <c r="AO7" s="24">
        <f t="shared" si="18"/>
        <v>50333.880496621074</v>
      </c>
      <c r="AP7" s="21">
        <f>1517871+3510598+3783157+2994803+3108336+2969561</f>
        <v>17884326</v>
      </c>
      <c r="AQ7" s="22">
        <f t="shared" si="19"/>
        <v>20610306</v>
      </c>
      <c r="AR7" s="23">
        <f>41774454+123449847+169979139+163873212+208282816+254971358</f>
        <v>962330826</v>
      </c>
      <c r="AS7" s="24">
        <f t="shared" si="20"/>
        <v>53808.61576779578</v>
      </c>
      <c r="AT7" s="21">
        <f>1333681+3136635+3619401+3105688+3252768+3383398</f>
        <v>17831571</v>
      </c>
      <c r="AU7" s="22">
        <f t="shared" si="21"/>
        <v>21236173</v>
      </c>
      <c r="AV7" s="23">
        <f>(36714+110401+162869+170061+217927+291369)*1000</f>
        <v>989341000</v>
      </c>
      <c r="AW7" s="24">
        <f t="shared" si="22"/>
        <v>55482.548340805195</v>
      </c>
    </row>
    <row r="8" spans="1:49" ht="12.75">
      <c r="A8" s="1">
        <v>250000</v>
      </c>
      <c r="B8" s="21">
        <v>45100</v>
      </c>
      <c r="C8" s="22">
        <f t="shared" si="0"/>
        <v>59900</v>
      </c>
      <c r="D8" s="23">
        <v>6643200</v>
      </c>
      <c r="E8" s="24">
        <f t="shared" si="23"/>
        <v>147299.33481152993</v>
      </c>
      <c r="F8" s="21">
        <v>72200</v>
      </c>
      <c r="G8" s="22">
        <f t="shared" si="1"/>
        <v>93400</v>
      </c>
      <c r="H8" s="23">
        <v>10517900</v>
      </c>
      <c r="I8" s="24">
        <f t="shared" si="2"/>
        <v>145677.28531855956</v>
      </c>
      <c r="J8" s="21">
        <v>89500</v>
      </c>
      <c r="K8" s="22">
        <f t="shared" si="3"/>
        <v>111000</v>
      </c>
      <c r="L8" s="23">
        <v>12972900</v>
      </c>
      <c r="M8" s="24">
        <f t="shared" si="4"/>
        <v>144948.6033519553</v>
      </c>
      <c r="N8" s="21">
        <v>154800</v>
      </c>
      <c r="O8" s="22">
        <f t="shared" si="5"/>
        <v>193920</v>
      </c>
      <c r="P8" s="23">
        <v>22658600</v>
      </c>
      <c r="Q8" s="24">
        <f t="shared" si="6"/>
        <v>146373.3850129199</v>
      </c>
      <c r="R8" s="21">
        <v>212000</v>
      </c>
      <c r="S8" s="22">
        <f t="shared" si="7"/>
        <v>264863</v>
      </c>
      <c r="T8" s="23">
        <v>31066500</v>
      </c>
      <c r="U8" s="24">
        <f t="shared" si="8"/>
        <v>146540.09433962265</v>
      </c>
      <c r="V8" s="21">
        <v>290500</v>
      </c>
      <c r="W8" s="22">
        <f t="shared" si="9"/>
        <v>365400</v>
      </c>
      <c r="X8" s="23">
        <v>42184700</v>
      </c>
      <c r="Y8" s="24">
        <f t="shared" si="10"/>
        <v>145214.11359724612</v>
      </c>
      <c r="Z8" s="21">
        <v>444900</v>
      </c>
      <c r="AA8" s="22">
        <f t="shared" si="11"/>
        <v>551600</v>
      </c>
      <c r="AB8" s="23">
        <v>63338500</v>
      </c>
      <c r="AC8" s="24">
        <f t="shared" si="12"/>
        <v>142365.70015733872</v>
      </c>
      <c r="AD8" s="21">
        <v>555700</v>
      </c>
      <c r="AE8" s="22">
        <f t="shared" si="13"/>
        <v>662200</v>
      </c>
      <c r="AF8" s="29">
        <v>76877300</v>
      </c>
      <c r="AG8" s="24">
        <f t="shared" si="14"/>
        <v>138343.17077559835</v>
      </c>
      <c r="AH8" s="21">
        <v>791632</v>
      </c>
      <c r="AI8" s="22">
        <f t="shared" si="15"/>
        <v>925537</v>
      </c>
      <c r="AJ8" s="23">
        <v>108065687</v>
      </c>
      <c r="AK8" s="24">
        <f t="shared" si="16"/>
        <v>136510.0033854114</v>
      </c>
      <c r="AL8" s="21">
        <v>1251985</v>
      </c>
      <c r="AM8" s="22">
        <f t="shared" si="17"/>
        <v>1433531</v>
      </c>
      <c r="AN8" s="23">
        <v>169180312</v>
      </c>
      <c r="AO8" s="24">
        <f t="shared" si="18"/>
        <v>135129.66369405383</v>
      </c>
      <c r="AP8" s="21">
        <v>2439429</v>
      </c>
      <c r="AQ8" s="22">
        <f t="shared" si="19"/>
        <v>2725980</v>
      </c>
      <c r="AR8" s="23">
        <v>328453469</v>
      </c>
      <c r="AS8" s="24">
        <f t="shared" si="20"/>
        <v>134643.5862654744</v>
      </c>
      <c r="AT8" s="21">
        <v>3126897</v>
      </c>
      <c r="AU8" s="22">
        <f t="shared" si="21"/>
        <v>3404602</v>
      </c>
      <c r="AV8" s="23">
        <v>420419000</v>
      </c>
      <c r="AW8" s="24">
        <f t="shared" si="22"/>
        <v>134452.4619774812</v>
      </c>
    </row>
    <row r="9" spans="1:49" ht="12.75">
      <c r="A9" s="1">
        <v>500000</v>
      </c>
      <c r="B9" s="21">
        <v>9700</v>
      </c>
      <c r="C9" s="22">
        <f t="shared" si="0"/>
        <v>14800</v>
      </c>
      <c r="D9" s="23">
        <v>3306900</v>
      </c>
      <c r="E9" s="24">
        <f t="shared" si="23"/>
        <v>340917.5257731959</v>
      </c>
      <c r="F9" s="21">
        <v>13900</v>
      </c>
      <c r="G9" s="22">
        <f t="shared" si="1"/>
        <v>21200</v>
      </c>
      <c r="H9" s="23">
        <v>4704800</v>
      </c>
      <c r="I9" s="24">
        <f t="shared" si="2"/>
        <v>338474.8201438849</v>
      </c>
      <c r="J9" s="21">
        <v>14500</v>
      </c>
      <c r="K9" s="22">
        <f t="shared" si="3"/>
        <v>21500</v>
      </c>
      <c r="L9" s="23">
        <v>4887500</v>
      </c>
      <c r="M9" s="24">
        <f t="shared" si="4"/>
        <v>337068.9655172414</v>
      </c>
      <c r="N9" s="21">
        <v>26600</v>
      </c>
      <c r="O9" s="22">
        <f t="shared" si="5"/>
        <v>39120</v>
      </c>
      <c r="P9" s="23">
        <v>8917500</v>
      </c>
      <c r="Q9" s="24">
        <f t="shared" si="6"/>
        <v>335244.36090225563</v>
      </c>
      <c r="R9" s="21">
        <v>38000</v>
      </c>
      <c r="S9" s="22">
        <f t="shared" si="7"/>
        <v>52863</v>
      </c>
      <c r="T9" s="23">
        <v>12690500</v>
      </c>
      <c r="U9" s="24">
        <f t="shared" si="8"/>
        <v>333960.5263157895</v>
      </c>
      <c r="V9" s="21">
        <v>53600</v>
      </c>
      <c r="W9" s="22">
        <f t="shared" si="9"/>
        <v>74900</v>
      </c>
      <c r="X9" s="23">
        <v>17943200</v>
      </c>
      <c r="Y9" s="24">
        <f t="shared" si="10"/>
        <v>334761.19402985077</v>
      </c>
      <c r="Z9" s="21">
        <v>74800</v>
      </c>
      <c r="AA9" s="22">
        <f t="shared" si="11"/>
        <v>106700</v>
      </c>
      <c r="AB9" s="23">
        <v>25145800</v>
      </c>
      <c r="AC9" s="24">
        <f t="shared" si="12"/>
        <v>336173.79679144383</v>
      </c>
      <c r="AD9" s="21">
        <v>75000</v>
      </c>
      <c r="AE9" s="22">
        <f t="shared" si="13"/>
        <v>106500</v>
      </c>
      <c r="AF9" s="23">
        <v>25186600</v>
      </c>
      <c r="AG9" s="24">
        <f t="shared" si="14"/>
        <v>335821.3333333333</v>
      </c>
      <c r="AH9" s="21">
        <v>93668</v>
      </c>
      <c r="AI9" s="22">
        <f t="shared" si="15"/>
        <v>133905</v>
      </c>
      <c r="AJ9" s="23">
        <v>31433849</v>
      </c>
      <c r="AK9" s="24">
        <f t="shared" si="16"/>
        <v>335587.9168979801</v>
      </c>
      <c r="AL9" s="21">
        <v>127380</v>
      </c>
      <c r="AM9" s="22">
        <f t="shared" si="17"/>
        <v>181546</v>
      </c>
      <c r="AN9" s="23">
        <v>42641964</v>
      </c>
      <c r="AO9" s="24">
        <f t="shared" si="18"/>
        <v>334761.8464437117</v>
      </c>
      <c r="AP9" s="21">
        <v>206609</v>
      </c>
      <c r="AQ9" s="22">
        <f t="shared" si="19"/>
        <v>286551</v>
      </c>
      <c r="AR9" s="23">
        <v>68846572</v>
      </c>
      <c r="AS9" s="24">
        <f t="shared" si="20"/>
        <v>333221.5537561287</v>
      </c>
      <c r="AT9" s="21">
        <v>207672</v>
      </c>
      <c r="AU9" s="22">
        <f t="shared" si="21"/>
        <v>277705</v>
      </c>
      <c r="AV9" s="23">
        <v>68629000</v>
      </c>
      <c r="AW9" s="24">
        <f t="shared" si="22"/>
        <v>330468.23837590043</v>
      </c>
    </row>
    <row r="10" spans="1:49" ht="12.75">
      <c r="A10" s="1">
        <v>1000000</v>
      </c>
      <c r="B10" s="21">
        <v>3500</v>
      </c>
      <c r="C10" s="22">
        <f t="shared" si="0"/>
        <v>5100</v>
      </c>
      <c r="D10" s="23">
        <v>2345900</v>
      </c>
      <c r="E10" s="24">
        <f t="shared" si="23"/>
        <v>670257.1428571428</v>
      </c>
      <c r="F10" s="21">
        <v>4900</v>
      </c>
      <c r="G10" s="22">
        <f t="shared" si="1"/>
        <v>7300</v>
      </c>
      <c r="H10" s="23">
        <v>3308800</v>
      </c>
      <c r="I10" s="24">
        <f t="shared" si="2"/>
        <v>675265.306122449</v>
      </c>
      <c r="J10" s="21">
        <v>4600</v>
      </c>
      <c r="K10" s="22">
        <f t="shared" si="3"/>
        <v>7000</v>
      </c>
      <c r="L10" s="23">
        <v>3122000</v>
      </c>
      <c r="M10" s="24">
        <f t="shared" si="4"/>
        <v>678695.6521739131</v>
      </c>
      <c r="N10" s="21">
        <v>8300</v>
      </c>
      <c r="O10" s="22">
        <f t="shared" si="5"/>
        <v>12520</v>
      </c>
      <c r="P10" s="23">
        <v>5632600</v>
      </c>
      <c r="Q10" s="24">
        <f t="shared" si="6"/>
        <v>678626.5060240964</v>
      </c>
      <c r="R10" s="21">
        <v>10200</v>
      </c>
      <c r="S10" s="22">
        <f t="shared" si="7"/>
        <v>14863</v>
      </c>
      <c r="T10" s="23">
        <v>6872900</v>
      </c>
      <c r="U10" s="24">
        <f t="shared" si="8"/>
        <v>673813.725490196</v>
      </c>
      <c r="V10" s="21">
        <v>14800</v>
      </c>
      <c r="W10" s="22">
        <f t="shared" si="9"/>
        <v>21300</v>
      </c>
      <c r="X10" s="23">
        <v>9997800</v>
      </c>
      <c r="Y10" s="24">
        <f t="shared" si="10"/>
        <v>675527.027027027</v>
      </c>
      <c r="Z10" s="21">
        <v>21700</v>
      </c>
      <c r="AA10" s="22">
        <f t="shared" si="11"/>
        <v>31900</v>
      </c>
      <c r="AB10" s="23">
        <v>14600700</v>
      </c>
      <c r="AC10" s="24">
        <f t="shared" si="12"/>
        <v>672843.3179723503</v>
      </c>
      <c r="AD10" s="21">
        <v>21100</v>
      </c>
      <c r="AE10" s="22">
        <f t="shared" si="13"/>
        <v>31500</v>
      </c>
      <c r="AF10" s="23">
        <v>14185500</v>
      </c>
      <c r="AG10" s="24">
        <f t="shared" si="14"/>
        <v>672298.5781990521</v>
      </c>
      <c r="AH10" s="21">
        <v>26575</v>
      </c>
      <c r="AI10" s="22">
        <f t="shared" si="15"/>
        <v>40237</v>
      </c>
      <c r="AJ10" s="23">
        <v>17893332</v>
      </c>
      <c r="AK10" s="24">
        <f t="shared" si="16"/>
        <v>673314.4684854186</v>
      </c>
      <c r="AL10" s="21">
        <v>36065</v>
      </c>
      <c r="AM10" s="22">
        <f t="shared" si="17"/>
        <v>54166</v>
      </c>
      <c r="AN10" s="23">
        <v>24267717</v>
      </c>
      <c r="AO10" s="24">
        <f t="shared" si="18"/>
        <v>672888.3127686122</v>
      </c>
      <c r="AP10" s="21">
        <v>54677</v>
      </c>
      <c r="AQ10" s="22">
        <f t="shared" si="19"/>
        <v>79942</v>
      </c>
      <c r="AR10" s="23">
        <v>36686928</v>
      </c>
      <c r="AS10" s="24">
        <f t="shared" si="20"/>
        <v>670975.5107266309</v>
      </c>
      <c r="AT10" s="21">
        <v>49031</v>
      </c>
      <c r="AU10" s="22">
        <f t="shared" si="21"/>
        <v>70033</v>
      </c>
      <c r="AV10" s="23">
        <v>32752000</v>
      </c>
      <c r="AW10" s="24">
        <f t="shared" si="22"/>
        <v>667985.5601558198</v>
      </c>
    </row>
    <row r="11" spans="1:49" ht="12.75">
      <c r="A11" s="1">
        <v>2000000</v>
      </c>
      <c r="B11" s="21">
        <v>1600</v>
      </c>
      <c r="C11" s="22">
        <f t="shared" si="0"/>
        <v>1600</v>
      </c>
      <c r="D11" s="23">
        <v>3749000</v>
      </c>
      <c r="E11" s="24">
        <f t="shared" si="23"/>
        <v>2343125</v>
      </c>
      <c r="F11" s="21">
        <v>2400</v>
      </c>
      <c r="G11" s="22">
        <f t="shared" si="1"/>
        <v>2400</v>
      </c>
      <c r="H11" s="23">
        <v>5406400</v>
      </c>
      <c r="I11" s="24">
        <f t="shared" si="2"/>
        <v>2252666.6666666665</v>
      </c>
      <c r="J11" s="21">
        <v>2400</v>
      </c>
      <c r="K11" s="22">
        <f t="shared" si="3"/>
        <v>2400</v>
      </c>
      <c r="L11" s="23">
        <v>5922900</v>
      </c>
      <c r="M11" s="24">
        <f t="shared" si="4"/>
        <v>2467875</v>
      </c>
      <c r="N11" s="21">
        <v>2821</v>
      </c>
      <c r="O11" s="22">
        <f t="shared" si="5"/>
        <v>4220</v>
      </c>
      <c r="P11" s="23">
        <v>3838153</v>
      </c>
      <c r="Q11" s="24">
        <f t="shared" si="6"/>
        <v>1360564.693371145</v>
      </c>
      <c r="R11" s="21">
        <v>3172</v>
      </c>
      <c r="S11" s="22">
        <f t="shared" si="7"/>
        <v>4663</v>
      </c>
      <c r="T11" s="23">
        <v>4271963</v>
      </c>
      <c r="U11" s="24">
        <f t="shared" si="8"/>
        <v>1346772.6986128625</v>
      </c>
      <c r="V11" s="21">
        <v>4300</v>
      </c>
      <c r="W11" s="22">
        <f t="shared" si="9"/>
        <v>6500</v>
      </c>
      <c r="X11" s="23">
        <v>5794200</v>
      </c>
      <c r="Y11" s="24">
        <f t="shared" si="10"/>
        <v>1347488.3720930233</v>
      </c>
      <c r="Z11" s="21">
        <v>6800</v>
      </c>
      <c r="AA11" s="22">
        <f t="shared" si="11"/>
        <v>10200</v>
      </c>
      <c r="AB11" s="23">
        <v>9142800</v>
      </c>
      <c r="AC11" s="24">
        <f t="shared" si="12"/>
        <v>1344529.4117647058</v>
      </c>
      <c r="AD11" s="21">
        <v>6700</v>
      </c>
      <c r="AE11" s="22">
        <f t="shared" si="13"/>
        <v>10400</v>
      </c>
      <c r="AF11" s="23">
        <v>9046600</v>
      </c>
      <c r="AG11" s="24">
        <f t="shared" si="14"/>
        <v>1350238.8059701493</v>
      </c>
      <c r="AH11" s="21">
        <v>8633</v>
      </c>
      <c r="AI11" s="22">
        <f t="shared" si="15"/>
        <v>13662</v>
      </c>
      <c r="AJ11" s="23">
        <v>11769895</v>
      </c>
      <c r="AK11" s="24">
        <f t="shared" si="16"/>
        <v>1363360.9405768563</v>
      </c>
      <c r="AL11" s="21">
        <v>11178</v>
      </c>
      <c r="AM11" s="22">
        <f t="shared" si="17"/>
        <v>18101</v>
      </c>
      <c r="AN11" s="23">
        <v>15196257</v>
      </c>
      <c r="AO11" s="24">
        <f t="shared" si="18"/>
        <v>1359479.0660225442</v>
      </c>
      <c r="AP11" s="21">
        <v>16398</v>
      </c>
      <c r="AQ11" s="22">
        <f t="shared" si="19"/>
        <v>25265</v>
      </c>
      <c r="AR11" s="23">
        <v>22120370</v>
      </c>
      <c r="AS11" s="24">
        <f t="shared" si="20"/>
        <v>1348967.5570191487</v>
      </c>
      <c r="AT11" s="21">
        <v>13820</v>
      </c>
      <c r="AU11" s="22">
        <f t="shared" si="21"/>
        <v>21002</v>
      </c>
      <c r="AV11" s="23">
        <v>18659000</v>
      </c>
      <c r="AW11" s="24">
        <f t="shared" si="22"/>
        <v>1350144.7178002894</v>
      </c>
    </row>
    <row r="12" spans="1:49" ht="12.75">
      <c r="A12" s="1">
        <v>5000000</v>
      </c>
      <c r="B12" s="21"/>
      <c r="C12" s="22">
        <f>C13+B12</f>
        <v>0</v>
      </c>
      <c r="D12" s="23"/>
      <c r="E12" s="24"/>
      <c r="F12" s="21"/>
      <c r="G12" s="22">
        <f>G13+F12</f>
        <v>0</v>
      </c>
      <c r="H12" s="23"/>
      <c r="I12" s="24"/>
      <c r="J12" s="21"/>
      <c r="K12" s="22">
        <f>K13+J12</f>
        <v>0</v>
      </c>
      <c r="L12" s="23"/>
      <c r="M12" s="24"/>
      <c r="N12" s="21">
        <v>1061</v>
      </c>
      <c r="O12" s="22">
        <f>O13+N12</f>
        <v>1399</v>
      </c>
      <c r="P12" s="23">
        <v>3133149</v>
      </c>
      <c r="Q12" s="24">
        <f t="shared" si="6"/>
        <v>2953015.080113101</v>
      </c>
      <c r="R12" s="21">
        <v>1168</v>
      </c>
      <c r="S12" s="22">
        <f>S13+R12</f>
        <v>1491</v>
      </c>
      <c r="T12" s="23">
        <v>3415460</v>
      </c>
      <c r="U12" s="24">
        <f t="shared" si="8"/>
        <v>2924195.205479452</v>
      </c>
      <c r="V12" s="21">
        <v>1700</v>
      </c>
      <c r="W12" s="22">
        <f>W13+V12</f>
        <v>2200</v>
      </c>
      <c r="X12" s="23">
        <v>4906300</v>
      </c>
      <c r="Y12" s="24">
        <f t="shared" si="10"/>
        <v>2886058.8235294116</v>
      </c>
      <c r="Z12" s="21">
        <v>2700</v>
      </c>
      <c r="AA12" s="22">
        <f>AA13+Z12</f>
        <v>3400</v>
      </c>
      <c r="AB12" s="23">
        <v>7899700</v>
      </c>
      <c r="AC12" s="24">
        <f t="shared" si="12"/>
        <v>2925814.814814815</v>
      </c>
      <c r="AD12" s="21">
        <v>2800</v>
      </c>
      <c r="AE12" s="22">
        <f>AE13+AD12</f>
        <v>3700</v>
      </c>
      <c r="AF12" s="23">
        <v>8192100</v>
      </c>
      <c r="AG12" s="24">
        <f t="shared" si="14"/>
        <v>2925750</v>
      </c>
      <c r="AH12" s="21">
        <v>3673</v>
      </c>
      <c r="AI12" s="22">
        <f>AI13+AH12</f>
        <v>5029</v>
      </c>
      <c r="AJ12" s="23">
        <v>10950806</v>
      </c>
      <c r="AK12" s="24">
        <f t="shared" si="16"/>
        <v>2981433.7054179143</v>
      </c>
      <c r="AL12" s="21">
        <v>4869</v>
      </c>
      <c r="AM12" s="22">
        <f>AM13+AL12</f>
        <v>6923</v>
      </c>
      <c r="AN12" s="23">
        <v>14497506</v>
      </c>
      <c r="AO12" s="24">
        <f t="shared" si="18"/>
        <v>2977512.014787431</v>
      </c>
      <c r="AP12" s="21">
        <v>6592</v>
      </c>
      <c r="AQ12" s="22">
        <f>AQ13+AP12</f>
        <v>8867</v>
      </c>
      <c r="AR12" s="23">
        <v>19511453</v>
      </c>
      <c r="AS12" s="24">
        <f t="shared" si="20"/>
        <v>2959868.4769417476</v>
      </c>
      <c r="AT12" s="21">
        <v>5249</v>
      </c>
      <c r="AU12" s="22">
        <f>AU13+AT12</f>
        <v>7182</v>
      </c>
      <c r="AV12" s="23">
        <v>15461000</v>
      </c>
      <c r="AW12" s="24">
        <f t="shared" si="22"/>
        <v>2945513.431129739</v>
      </c>
    </row>
    <row r="13" spans="1:49" ht="12.75">
      <c r="A13" s="1">
        <v>10000000</v>
      </c>
      <c r="B13" s="21"/>
      <c r="C13" s="25">
        <f>C14+B13</f>
        <v>0</v>
      </c>
      <c r="D13" s="23"/>
      <c r="E13" s="24"/>
      <c r="F13" s="21"/>
      <c r="G13" s="25">
        <f>G14+F13</f>
        <v>0</v>
      </c>
      <c r="H13" s="23"/>
      <c r="I13" s="24"/>
      <c r="J13" s="21"/>
      <c r="K13" s="25">
        <f>K14+J13</f>
        <v>0</v>
      </c>
      <c r="L13" s="23"/>
      <c r="M13" s="24"/>
      <c r="N13" s="21">
        <v>228</v>
      </c>
      <c r="O13" s="25">
        <f>O14+N13</f>
        <v>338</v>
      </c>
      <c r="P13" s="23">
        <v>1547914</v>
      </c>
      <c r="Q13" s="24">
        <f t="shared" si="6"/>
        <v>6789096.49122807</v>
      </c>
      <c r="R13" s="21">
        <v>235</v>
      </c>
      <c r="S13" s="25">
        <f>S14+R13</f>
        <v>323</v>
      </c>
      <c r="T13" s="23">
        <v>1569545</v>
      </c>
      <c r="U13" s="24">
        <f t="shared" si="8"/>
        <v>6678914.893617021</v>
      </c>
      <c r="V13" s="21">
        <v>400</v>
      </c>
      <c r="W13" s="25">
        <f>W14+V13</f>
        <v>500</v>
      </c>
      <c r="X13" s="23">
        <v>2453700</v>
      </c>
      <c r="Y13" s="24">
        <f t="shared" si="10"/>
        <v>6134250</v>
      </c>
      <c r="Z13" s="21">
        <v>500</v>
      </c>
      <c r="AA13" s="25">
        <f>AA14+Z13</f>
        <v>700</v>
      </c>
      <c r="AB13" s="23">
        <v>3442800</v>
      </c>
      <c r="AC13" s="24">
        <f t="shared" si="12"/>
        <v>6885600</v>
      </c>
      <c r="AD13" s="21">
        <v>600</v>
      </c>
      <c r="AE13" s="25">
        <f>AE14+AD13</f>
        <v>900</v>
      </c>
      <c r="AF13" s="23">
        <v>4150000</v>
      </c>
      <c r="AG13" s="24">
        <f t="shared" si="14"/>
        <v>6916666.666666667</v>
      </c>
      <c r="AH13" s="21">
        <v>892</v>
      </c>
      <c r="AI13" s="25">
        <f>AI14+AH13</f>
        <v>1356</v>
      </c>
      <c r="AJ13" s="23">
        <v>6041834</v>
      </c>
      <c r="AK13" s="24">
        <f t="shared" si="16"/>
        <v>6773356.502242153</v>
      </c>
      <c r="AL13" s="21">
        <v>1159</v>
      </c>
      <c r="AM13" s="25">
        <f>AM14+AL13</f>
        <v>2054</v>
      </c>
      <c r="AN13" s="23">
        <v>7876068</v>
      </c>
      <c r="AO13" s="24">
        <f t="shared" si="18"/>
        <v>6795572.044866264</v>
      </c>
      <c r="AP13" s="21">
        <v>1524</v>
      </c>
      <c r="AQ13" s="25">
        <f>AQ14+AP13</f>
        <v>2275</v>
      </c>
      <c r="AR13" s="23">
        <v>10390565</v>
      </c>
      <c r="AS13" s="24">
        <f t="shared" si="20"/>
        <v>6817956.036745407</v>
      </c>
      <c r="AT13" s="21">
        <v>1247</v>
      </c>
      <c r="AU13" s="25">
        <f>AU14+AT13</f>
        <v>1933</v>
      </c>
      <c r="AV13" s="23">
        <v>8458000</v>
      </c>
      <c r="AW13" s="24">
        <f t="shared" si="22"/>
        <v>6782678.428227747</v>
      </c>
    </row>
    <row r="14" spans="1:49" ht="12.75">
      <c r="A14" s="30" t="s">
        <v>1</v>
      </c>
      <c r="B14" s="21"/>
      <c r="C14" s="25">
        <f>C15+B14</f>
        <v>0</v>
      </c>
      <c r="D14" s="23"/>
      <c r="E14" s="24"/>
      <c r="F14" s="21"/>
      <c r="G14" s="25">
        <f>G15+F14</f>
        <v>0</v>
      </c>
      <c r="H14" s="23"/>
      <c r="I14" s="24"/>
      <c r="J14" s="21"/>
      <c r="K14" s="25">
        <f>K15+J14</f>
        <v>0</v>
      </c>
      <c r="L14" s="23"/>
      <c r="M14" s="24"/>
      <c r="N14" s="21">
        <v>110</v>
      </c>
      <c r="O14" s="25">
        <f>O15+N14</f>
        <v>110</v>
      </c>
      <c r="P14" s="23">
        <v>2086328</v>
      </c>
      <c r="Q14" s="24">
        <f t="shared" si="6"/>
        <v>18966618.181818184</v>
      </c>
      <c r="R14" s="21">
        <v>88</v>
      </c>
      <c r="S14" s="25">
        <f>S15+R14</f>
        <v>88</v>
      </c>
      <c r="T14" s="23">
        <v>1561173</v>
      </c>
      <c r="U14" s="24">
        <f t="shared" si="8"/>
        <v>17740602.272727273</v>
      </c>
      <c r="V14" s="21">
        <v>100</v>
      </c>
      <c r="W14" s="25">
        <f>W15+V14</f>
        <v>100</v>
      </c>
      <c r="X14" s="23">
        <v>1985000</v>
      </c>
      <c r="Y14" s="24">
        <f t="shared" si="10"/>
        <v>19850000</v>
      </c>
      <c r="Z14" s="21">
        <v>200</v>
      </c>
      <c r="AA14" s="25">
        <f>AA15+Z14</f>
        <v>200</v>
      </c>
      <c r="AB14" s="23">
        <v>4380500</v>
      </c>
      <c r="AC14" s="24">
        <f t="shared" si="12"/>
        <v>21902500</v>
      </c>
      <c r="AD14" s="21">
        <v>300</v>
      </c>
      <c r="AE14" s="25">
        <f>AE15+AD14</f>
        <v>300</v>
      </c>
      <c r="AF14" s="23">
        <v>5593400</v>
      </c>
      <c r="AG14" s="24">
        <f t="shared" si="14"/>
        <v>18644666.666666668</v>
      </c>
      <c r="AH14" s="21">
        <v>464</v>
      </c>
      <c r="AI14" s="25">
        <f>AI15+AH14</f>
        <v>464</v>
      </c>
      <c r="AJ14" s="23">
        <v>10749792</v>
      </c>
      <c r="AK14" s="24">
        <f t="shared" si="16"/>
        <v>23167655.172413792</v>
      </c>
      <c r="AL14" s="21">
        <v>895</v>
      </c>
      <c r="AM14" s="25">
        <f>AM15+AL14</f>
        <v>895</v>
      </c>
      <c r="AN14" s="23">
        <v>33916540</v>
      </c>
      <c r="AO14" s="24">
        <f t="shared" si="18"/>
        <v>37895575.41899441</v>
      </c>
      <c r="AP14" s="21">
        <v>751</v>
      </c>
      <c r="AQ14" s="25">
        <f>AQ15+AP14</f>
        <v>751</v>
      </c>
      <c r="AR14" s="23">
        <v>14996606</v>
      </c>
      <c r="AS14" s="24">
        <f t="shared" si="20"/>
        <v>19968849.53395473</v>
      </c>
      <c r="AT14" s="21">
        <v>686</v>
      </c>
      <c r="AU14" s="25">
        <f>AU15+AT14</f>
        <v>686</v>
      </c>
      <c r="AV14" s="23">
        <v>14801000</v>
      </c>
      <c r="AW14" s="24">
        <f t="shared" si="22"/>
        <v>21575801.749271136</v>
      </c>
    </row>
    <row r="15" spans="1:49" ht="12.75">
      <c r="A15" s="31" t="s">
        <v>2</v>
      </c>
      <c r="B15" s="21">
        <f>SUM(B5:B14)</f>
        <v>22218600</v>
      </c>
      <c r="C15" s="25"/>
      <c r="D15" s="23">
        <f>SUM(D5:D14)</f>
        <v>163665000</v>
      </c>
      <c r="E15" s="24">
        <f>D15*1000/B15</f>
        <v>7366.125678485593</v>
      </c>
      <c r="F15" s="21">
        <f>SUM(F5:F14)</f>
        <v>23264200</v>
      </c>
      <c r="G15" s="25"/>
      <c r="H15" s="23">
        <f>SUM(H5:H14)</f>
        <v>226666100</v>
      </c>
      <c r="I15" s="24">
        <f t="shared" si="2"/>
        <v>9743.128927708669</v>
      </c>
      <c r="J15" s="21">
        <f>SUM(J5:J14)</f>
        <v>20647400</v>
      </c>
      <c r="K15" s="25"/>
      <c r="L15" s="23">
        <f>SUM(L5:L14)</f>
        <v>255576700</v>
      </c>
      <c r="M15" s="24">
        <f t="shared" si="4"/>
        <v>12378.154150159342</v>
      </c>
      <c r="N15" s="21">
        <f>SUM(N5:N14)</f>
        <v>22335720</v>
      </c>
      <c r="O15" s="25"/>
      <c r="P15" s="23">
        <f>SUM(P5:P14)</f>
        <v>401213844</v>
      </c>
      <c r="Q15" s="24">
        <f t="shared" si="6"/>
        <v>17962.879369906143</v>
      </c>
      <c r="R15" s="21">
        <f>SUM(R5:R14)</f>
        <v>22802263</v>
      </c>
      <c r="S15" s="25"/>
      <c r="T15" s="23">
        <f>SUM(T5:T14)</f>
        <v>538858841</v>
      </c>
      <c r="U15" s="24">
        <f t="shared" si="8"/>
        <v>23631.814131781568</v>
      </c>
      <c r="V15" s="21">
        <f>SUM(V5:V14)</f>
        <v>22002500</v>
      </c>
      <c r="W15" s="25"/>
      <c r="X15" s="23">
        <f>SUM(X5:X14)</f>
        <v>617829900</v>
      </c>
      <c r="Y15" s="24">
        <f t="shared" si="10"/>
        <v>28079.986365185774</v>
      </c>
      <c r="Z15" s="21">
        <f>SUM(Z5:Z14)</f>
        <v>23077200</v>
      </c>
      <c r="AA15" s="25"/>
      <c r="AB15" s="23">
        <f>SUM(AB5:AB14)</f>
        <v>766132800</v>
      </c>
      <c r="AC15" s="24">
        <f t="shared" si="12"/>
        <v>33198.68961572461</v>
      </c>
      <c r="AD15" s="21">
        <f>SUM(AD5:AD14)</f>
        <v>23566000</v>
      </c>
      <c r="AE15" s="25"/>
      <c r="AF15" s="23">
        <f>SUM(AF5:AF14)</f>
        <v>829813200</v>
      </c>
      <c r="AG15" s="24">
        <f t="shared" si="14"/>
        <v>35212.30586438089</v>
      </c>
      <c r="AH15" s="21">
        <f>SUM(AH5:AH14)</f>
        <v>23405031</v>
      </c>
      <c r="AI15" s="25"/>
      <c r="AJ15" s="23">
        <f>SUM(AJ5:AJ14)</f>
        <v>952537067</v>
      </c>
      <c r="AK15" s="24">
        <f t="shared" si="16"/>
        <v>40697.9622030836</v>
      </c>
      <c r="AL15" s="21">
        <f>SUM(AL5:AL14)</f>
        <v>23978392</v>
      </c>
      <c r="AM15" s="25"/>
      <c r="AN15" s="23">
        <f>SUM(AN5:AN14)</f>
        <v>1135150115</v>
      </c>
      <c r="AO15" s="24">
        <f t="shared" si="18"/>
        <v>47340.543727869655</v>
      </c>
      <c r="AP15" s="21">
        <f>SUM(AP5:AP14)</f>
        <v>29478827</v>
      </c>
      <c r="AQ15" s="25"/>
      <c r="AR15" s="23">
        <f>SUM(AR5:AR14)</f>
        <v>1540401374</v>
      </c>
      <c r="AS15" s="24">
        <f t="shared" si="20"/>
        <v>52254.50028930934</v>
      </c>
      <c r="AT15" s="21">
        <f>SUM(AT5:AT14)</f>
        <v>29752289</v>
      </c>
      <c r="AU15" s="25"/>
      <c r="AV15" s="23">
        <f>SUM(AV5:AV14)</f>
        <v>1635226000</v>
      </c>
      <c r="AW15" s="24"/>
    </row>
    <row r="16" spans="2:49" ht="12.75">
      <c r="B16" s="26"/>
      <c r="C16" s="6"/>
      <c r="D16" s="9"/>
      <c r="E16" s="20"/>
      <c r="F16" s="26"/>
      <c r="G16" s="9"/>
      <c r="H16" s="9"/>
      <c r="I16" s="20"/>
      <c r="J16" s="26"/>
      <c r="K16" s="9"/>
      <c r="L16" s="9"/>
      <c r="M16" s="20"/>
      <c r="N16" s="26"/>
      <c r="O16" s="6"/>
      <c r="P16" s="9"/>
      <c r="Q16" s="20"/>
      <c r="R16" s="26"/>
      <c r="S16" s="9"/>
      <c r="T16" s="9"/>
      <c r="U16" s="20"/>
      <c r="V16" s="26"/>
      <c r="W16" s="9"/>
      <c r="X16" s="9"/>
      <c r="Y16" s="20"/>
      <c r="Z16" s="26"/>
      <c r="AA16" s="9"/>
      <c r="AB16" s="9"/>
      <c r="AC16" s="20"/>
      <c r="AD16" s="26"/>
      <c r="AE16" s="9"/>
      <c r="AF16" s="9"/>
      <c r="AG16" s="20"/>
      <c r="AH16" s="26"/>
      <c r="AI16" s="9"/>
      <c r="AJ16" s="9"/>
      <c r="AK16" s="20"/>
      <c r="AL16" s="26"/>
      <c r="AM16" s="9"/>
      <c r="AN16" s="9"/>
      <c r="AO16" s="20"/>
      <c r="AP16" s="26"/>
      <c r="AQ16" s="9"/>
      <c r="AR16" s="9"/>
      <c r="AS16" s="20"/>
      <c r="AT16" s="18"/>
      <c r="AU16" s="6"/>
      <c r="AV16" s="6"/>
      <c r="AW16" s="20"/>
    </row>
    <row r="17" spans="2:49" ht="12.75">
      <c r="B17" s="21">
        <v>1000</v>
      </c>
      <c r="C17" s="25"/>
      <c r="D17" s="33">
        <f>D14+D13+D12+D11/B11*(B11-C11+1000)</f>
        <v>2343125</v>
      </c>
      <c r="E17" s="34">
        <f>D17*1000/B17</f>
        <v>2343125</v>
      </c>
      <c r="F17" s="21">
        <v>1000</v>
      </c>
      <c r="G17" s="25"/>
      <c r="H17" s="33">
        <f>H14+H13+H12+H11/F11*(F11-G11+1000)</f>
        <v>2252666.6666666665</v>
      </c>
      <c r="I17" s="34">
        <f>H17*1000/F17</f>
        <v>2252666.6666666665</v>
      </c>
      <c r="J17" s="21">
        <v>1000</v>
      </c>
      <c r="K17" s="25"/>
      <c r="L17" s="33">
        <f>L14+L13+L12+L11/J11*(J11-K11+1000)</f>
        <v>2467875</v>
      </c>
      <c r="M17" s="34">
        <f>L17*1000/J17</f>
        <v>2467875</v>
      </c>
      <c r="N17" s="21">
        <v>1000</v>
      </c>
      <c r="O17" s="25"/>
      <c r="P17" s="33">
        <f>P14+P13+P12/N12*(N12-O12+1000)</f>
        <v>5589137.983034872</v>
      </c>
      <c r="Q17" s="34">
        <f>P17*1000/N17</f>
        <v>5589137.983034872</v>
      </c>
      <c r="R17" s="21">
        <v>1000</v>
      </c>
      <c r="S17" s="25"/>
      <c r="T17" s="33">
        <f>T14+T13+T12/R12*(R12-S12+1000)</f>
        <v>5110398.154109589</v>
      </c>
      <c r="U17" s="34">
        <f>T17*1000/R17</f>
        <v>5110398.154109589</v>
      </c>
      <c r="V17" s="21">
        <v>1000</v>
      </c>
      <c r="W17" s="25"/>
      <c r="X17" s="33">
        <f>X14+X13+X12/V12*(V12-W12+1000)</f>
        <v>5881729.411764706</v>
      </c>
      <c r="Y17" s="34">
        <f>X17*1000/V17</f>
        <v>5881729.411764706</v>
      </c>
      <c r="Z17" s="21">
        <v>1000</v>
      </c>
      <c r="AA17" s="25"/>
      <c r="AB17" s="33">
        <f>AB14+AB13+AB12/Z12*(Z12-AA12+1000)</f>
        <v>8701044.444444444</v>
      </c>
      <c r="AC17" s="34">
        <f>AB17*1000/Z17</f>
        <v>8701044.444444444</v>
      </c>
      <c r="AD17" s="21">
        <v>1000</v>
      </c>
      <c r="AE17" s="25"/>
      <c r="AF17" s="33">
        <f>AF14+AF13+AF12/AD12*(AD12-AE12+1000)</f>
        <v>10035975</v>
      </c>
      <c r="AG17" s="34">
        <f>AF17*1000/AD17</f>
        <v>10035975</v>
      </c>
      <c r="AH17" s="21">
        <v>1000</v>
      </c>
      <c r="AI17" s="25"/>
      <c r="AJ17" s="33">
        <f>AJ14+AJ13/AH13*(AH13-AI13+1000)</f>
        <v>14380311.085201794</v>
      </c>
      <c r="AK17" s="34">
        <f>AJ17*1000/AH17</f>
        <v>14380311.085201794</v>
      </c>
      <c r="AL17" s="21">
        <v>1000</v>
      </c>
      <c r="AM17" s="25"/>
      <c r="AN17" s="33">
        <f>AN14+AN13/AL13*(AL13-AM13+1000)</f>
        <v>34630075.06471096</v>
      </c>
      <c r="AO17" s="34">
        <f>AN17*1000/AL17</f>
        <v>34630075.06471096</v>
      </c>
      <c r="AP17" s="21">
        <v>1000</v>
      </c>
      <c r="AQ17" s="25"/>
      <c r="AR17" s="33">
        <f>AR14+AR13/AP13*(AP13-AQ13+1000)</f>
        <v>16694277.053149607</v>
      </c>
      <c r="AS17" s="34">
        <f>AR17*1000/AP17</f>
        <v>16694277.053149607</v>
      </c>
      <c r="AT17" s="21">
        <v>1000</v>
      </c>
      <c r="AU17" s="25"/>
      <c r="AV17" s="33">
        <f>AV14+AV13/AT13*(AT13-AU13+1000)</f>
        <v>16930761.026463512</v>
      </c>
      <c r="AW17" s="34">
        <f>AV17*1000/AT17</f>
        <v>16930761.026463512</v>
      </c>
    </row>
    <row r="18" spans="2:49" ht="12.75">
      <c r="B18" s="21">
        <v>10000</v>
      </c>
      <c r="C18" s="25"/>
      <c r="D18" s="25">
        <f>SUM(D$10:D$14)+D$9/B$9*(B$9-C$9+11000)-D$17</f>
        <v>5763188.402061855</v>
      </c>
      <c r="E18" s="34">
        <f>D18*1000/B18</f>
        <v>576318.8402061856</v>
      </c>
      <c r="F18" s="21">
        <v>10000</v>
      </c>
      <c r="G18" s="25"/>
      <c r="H18" s="25">
        <f>SUM(H$10:H$14)+H$9/F$9*(F$9-G$9+11000)-H$17</f>
        <v>7714890.1678657085</v>
      </c>
      <c r="I18" s="34">
        <f>H18*1000/F18</f>
        <v>771489.0167865708</v>
      </c>
      <c r="J18" s="21">
        <v>10000</v>
      </c>
      <c r="K18" s="25"/>
      <c r="L18" s="25">
        <f>SUM(L$10:L$14)+L$9/J$9*(J$9-K$9+11000)-L$17</f>
        <v>7925300.862068966</v>
      </c>
      <c r="M18" s="34">
        <f>L18*1000/J18</f>
        <v>792530.0862068966</v>
      </c>
      <c r="N18" s="21">
        <v>10000</v>
      </c>
      <c r="O18" s="25"/>
      <c r="P18" s="25">
        <f>SUM(P$11:P$14)+P$10/N$10*(N$10-O$10+11000)-P$17</f>
        <v>9617493.727808502</v>
      </c>
      <c r="Q18" s="34">
        <f>P18*1000/N18</f>
        <v>961749.3727808503</v>
      </c>
      <c r="R18" s="21">
        <v>10000</v>
      </c>
      <c r="S18" s="25"/>
      <c r="T18" s="25">
        <f>SUM(T$11:T$14)+T$10/R$10*(R$10-S$10+11000)-T$17</f>
        <v>9977700.424321782</v>
      </c>
      <c r="U18" s="34">
        <f>T18*1000/R18</f>
        <v>997770.0424321782</v>
      </c>
      <c r="V18" s="21">
        <v>10000</v>
      </c>
      <c r="W18" s="25"/>
      <c r="X18" s="25">
        <f>SUM(X$11:X$14)+X$10/V$10*(V$10-W$10+11000)-X$17</f>
        <v>12297342.209856914</v>
      </c>
      <c r="Y18" s="34">
        <f>X18*1000/V18</f>
        <v>1229734.2209856915</v>
      </c>
      <c r="Z18" s="21">
        <v>10000</v>
      </c>
      <c r="AA18" s="25"/>
      <c r="AB18" s="25">
        <f>SUM(AB$11:AB$14)+AB$10/Z$10*(Z$10-AA$10+11000)-AB$17</f>
        <v>16703030.209933437</v>
      </c>
      <c r="AC18" s="34">
        <f>AB18*1000/Z18</f>
        <v>1670303.0209933438</v>
      </c>
      <c r="AD18" s="21">
        <v>10000</v>
      </c>
      <c r="AE18" s="25"/>
      <c r="AF18" s="25">
        <f>SUM(AF$11:AF$14)+AF$10/AD$10*(AD$10-AE$10+11000)-AF$17</f>
        <v>17349504.146919433</v>
      </c>
      <c r="AG18" s="34">
        <f>AF18*1000/AD18</f>
        <v>1734950.4146919434</v>
      </c>
      <c r="AH18" s="21">
        <v>10000</v>
      </c>
      <c r="AI18" s="25"/>
      <c r="AJ18" s="25">
        <f>SUM(AJ$12:AJ$14)+AJ$11/AH$11*(AH$11-AI$11+11000)-AJ$17</f>
        <v>21502749.090982616</v>
      </c>
      <c r="AK18" s="34">
        <f>AJ18*1000/AH18</f>
        <v>2150274.9090982615</v>
      </c>
      <c r="AL18" s="21">
        <v>10000</v>
      </c>
      <c r="AM18" s="25"/>
      <c r="AN18" s="25">
        <f>SUM(AN$12:AN$14)+AN$11/AL$11*(AL$11-AM$11+11000)-AN$17</f>
        <v>27202635.087462954</v>
      </c>
      <c r="AO18" s="34">
        <f>AN18*1000/AL18</f>
        <v>2720263.5087462957</v>
      </c>
      <c r="AP18" s="21">
        <v>10000</v>
      </c>
      <c r="AQ18" s="25"/>
      <c r="AR18" s="25">
        <f>SUM(AR$12:AR$14)+AR$11/AP$11*(AP$11-AQ$11+11000)-AR$17</f>
        <v>31081694.745972235</v>
      </c>
      <c r="AS18" s="34">
        <f>AR18*1000/AP18</f>
        <v>3108169.4745972236</v>
      </c>
      <c r="AT18" s="21">
        <v>10000</v>
      </c>
      <c r="AU18" s="25"/>
      <c r="AV18" s="25">
        <f>SUM(AV$12:AV$14)+AV$11/AT$11*(AT$11-AU$11+11000)-AV$17</f>
        <v>26944091.50609799</v>
      </c>
      <c r="AW18" s="34">
        <f>AV18*1000/AT18</f>
        <v>2694409.150609799</v>
      </c>
    </row>
    <row r="19" spans="2:49" ht="12.75">
      <c r="B19" s="21">
        <v>100000</v>
      </c>
      <c r="C19" s="25"/>
      <c r="D19" s="25">
        <f>SUM(D$8:D$14)+D$7/B$7*(B$7-C$7+111000)-D$17-D$18</f>
        <v>10116396.097514058</v>
      </c>
      <c r="E19" s="34">
        <f>D19*1000/B19</f>
        <v>101163.96097514057</v>
      </c>
      <c r="F19" s="21">
        <v>100000</v>
      </c>
      <c r="G19" s="25"/>
      <c r="H19" s="25">
        <f>SUM(H$8:H$14)+H$7/F$7*(F$7-G$7+111000)-H$17-H$18</f>
        <v>14710764.895849917</v>
      </c>
      <c r="I19" s="34">
        <f>H19*1000/F19</f>
        <v>147107.64895849917</v>
      </c>
      <c r="J19" s="21">
        <v>100000</v>
      </c>
      <c r="K19" s="25"/>
      <c r="L19" s="25">
        <f>SUM(L$8:L$14)+L$7/J$7*(J$7-K$7+111000)-L$17-L$18</f>
        <v>16512124.137931034</v>
      </c>
      <c r="M19" s="34">
        <f>L19*1000/J19</f>
        <v>165121.24137931035</v>
      </c>
      <c r="N19" s="21">
        <v>100000</v>
      </c>
      <c r="O19" s="25"/>
      <c r="P19" s="25">
        <f>SUM(P$9:P$14)+P$8/N$8*(N$8-O$8+111000)-P$17-P$18</f>
        <v>20470331.203885313</v>
      </c>
      <c r="Q19" s="34">
        <f>P19*1000/N19</f>
        <v>204703.31203885315</v>
      </c>
      <c r="R19" s="21">
        <v>100000</v>
      </c>
      <c r="S19" s="25"/>
      <c r="T19" s="25">
        <f>SUM(T$9:T$14)+T$8/R$8*(R$8-S$8+111000)-T$17-T$18</f>
        <v>23812843.886191268</v>
      </c>
      <c r="U19" s="34">
        <f>T19*1000/R19</f>
        <v>238128.4388619127</v>
      </c>
      <c r="V19" s="21">
        <v>100000</v>
      </c>
      <c r="W19" s="25"/>
      <c r="X19" s="25">
        <f>SUM(X$9:X$14)+X$8/V$8*(V$8-W$8+111000)-X$17-X$18</f>
        <v>30143357.87923897</v>
      </c>
      <c r="Y19" s="34">
        <f>X19*1000/V19</f>
        <v>301433.5787923897</v>
      </c>
      <c r="Z19" s="21">
        <v>100000</v>
      </c>
      <c r="AA19" s="25"/>
      <c r="AB19" s="25">
        <f>SUM(AB$9:AB$14)+AB$8/Z$8*(Z$8-AA$8+111000)-AB$17-AB$18</f>
        <v>39820397.85629868</v>
      </c>
      <c r="AC19" s="34">
        <f>AB19*1000/Z19</f>
        <v>398203.97856298677</v>
      </c>
      <c r="AD19" s="21">
        <v>100000</v>
      </c>
      <c r="AE19" s="25"/>
      <c r="AF19" s="25">
        <f>SUM(AF$9:AF$14)+AF$8/AD$8*(AD$8-AE$8+111000)-AF$17-AF$18</f>
        <v>39591265.121570766</v>
      </c>
      <c r="AG19" s="34">
        <f>AF19*1000/AD19</f>
        <v>395912.65121570765</v>
      </c>
      <c r="AH19" s="21">
        <v>100000</v>
      </c>
      <c r="AI19" s="25"/>
      <c r="AJ19" s="25">
        <f>SUM(AJ$10:AJ$14)+AJ$9/AH$9*(AH$9-AI$9+111000)-AJ$17-AJ$18</f>
        <v>45269806.58726736</v>
      </c>
      <c r="AK19" s="34">
        <f>AJ19*1000/AH19</f>
        <v>452698.06587267364</v>
      </c>
      <c r="AL19" s="21">
        <v>100000</v>
      </c>
      <c r="AM19" s="25"/>
      <c r="AN19" s="25">
        <f>SUM(AN$10:AN$14)+AN$9/AL$9*(AL$9-AM$9+111000)-AN$17-AN$18</f>
        <v>52947232.628607996</v>
      </c>
      <c r="AO19" s="34">
        <f>AN19*1000/AL19</f>
        <v>529472.32628608</v>
      </c>
      <c r="AP19" s="21">
        <v>100000</v>
      </c>
      <c r="AQ19" s="25"/>
      <c r="AR19" s="25">
        <f>SUM(AR$10:AR$14)+AR$9/AP$9*(AP$9-AQ$9+111000)-AR$17-AR$18</f>
        <v>66279145.217436</v>
      </c>
      <c r="AS19" s="34">
        <f>AR19*1000/AP19</f>
        <v>662791.4521743599</v>
      </c>
      <c r="AT19" s="21">
        <v>100000</v>
      </c>
      <c r="AU19" s="25"/>
      <c r="AV19" s="25">
        <f>SUM(AV$10:AV$14)+AV$9/AT$9*(AT$9-AU$9+111000)-AV$17-AV$18</f>
        <v>59794439.788984016</v>
      </c>
      <c r="AW19" s="34">
        <f>AV19*1000/AT19</f>
        <v>597944.3978898402</v>
      </c>
    </row>
    <row r="20" spans="2:49" ht="12.75">
      <c r="B20" s="21">
        <v>1000000</v>
      </c>
      <c r="C20" s="25"/>
      <c r="D20" s="25">
        <f>SUM(D$7:D$14)+D$6/B$6*(B$6-C$6+1111000)-D$17-D$18-D$19</f>
        <v>21327799.98763077</v>
      </c>
      <c r="E20" s="34">
        <f>D20*1000/B20</f>
        <v>21327.79998763077</v>
      </c>
      <c r="F20" s="21">
        <v>1000000</v>
      </c>
      <c r="G20" s="25"/>
      <c r="H20" s="25">
        <f>SUM(H$7:H$14)+H$6/F$6*(F$6-G$6+1111000)-H$17-H$18-H$19</f>
        <v>34483546.44025709</v>
      </c>
      <c r="I20" s="34">
        <f>H20*1000/F20</f>
        <v>34483.54644025709</v>
      </c>
      <c r="J20" s="21">
        <v>1000000</v>
      </c>
      <c r="K20" s="25"/>
      <c r="L20" s="25">
        <f>SUM(L$7:L$14)+L$6/J$6*(J$6-K$6+1111000)-L$17-L$18-L$19</f>
        <v>23869609.636980385</v>
      </c>
      <c r="M20" s="34">
        <f>L20*1000/J20</f>
        <v>23869.609636980385</v>
      </c>
      <c r="N20" s="21">
        <v>1000000</v>
      </c>
      <c r="O20" s="25"/>
      <c r="P20" s="25">
        <f>SUM(P$8:P$14)+P$7/N$7*(N$7-O$7+1111000)-P$17-P$18-P$19</f>
        <v>45657403.52989985</v>
      </c>
      <c r="Q20" s="34">
        <f>P20*1000/N20</f>
        <v>45657.40352989985</v>
      </c>
      <c r="R20" s="21">
        <v>1000000</v>
      </c>
      <c r="S20" s="25"/>
      <c r="T20" s="25">
        <f>SUM(T$8:T$14)+T$7/R$7*(R$7-S$7+1111000)-T$17-T$18-T$19</f>
        <v>54402968.211947426</v>
      </c>
      <c r="U20" s="34">
        <f>T20*1000/R20</f>
        <v>54402.968211947424</v>
      </c>
      <c r="V20" s="21">
        <v>1000000</v>
      </c>
      <c r="W20" s="25"/>
      <c r="X20" s="25">
        <f>SUM(X$8:X$14)+X$7/V$7*(V$7-W$7+1111000)-X$17-X$18-X$19</f>
        <v>66845773.65240268</v>
      </c>
      <c r="Y20" s="34">
        <f>X20*1000/V20</f>
        <v>66845.77365240268</v>
      </c>
      <c r="Z20" s="21">
        <v>1000000</v>
      </c>
      <c r="AA20" s="25"/>
      <c r="AB20" s="25">
        <f>SUM(AB$8:AB$14)+AB$7/Z$7*(Z$7-AA$7+1111000)-AB$17-AB$18-AB$19</f>
        <v>86925121.74457279</v>
      </c>
      <c r="AC20" s="34">
        <f>AB20*1000/Z20</f>
        <v>86925.12174457278</v>
      </c>
      <c r="AD20" s="21">
        <v>1000000</v>
      </c>
      <c r="AE20" s="25"/>
      <c r="AF20" s="25">
        <f>SUM(AF$8:AF$14)+AF$7/AD$7*(AD$7-AE$7+1111000)-AF$17-AF$18-AF$19</f>
        <v>96598505.85692883</v>
      </c>
      <c r="AG20" s="34">
        <f>AF20*1000/AD20</f>
        <v>96598.50585692884</v>
      </c>
      <c r="AH20" s="21">
        <v>1000000</v>
      </c>
      <c r="AI20" s="25"/>
      <c r="AJ20" s="25">
        <f>SUM(AJ$8:AJ$14)+AJ$7/AH$7*(AH$7-AI$7+1111000)-AJ$17-AJ$18-AJ$19</f>
        <v>124561870.27396542</v>
      </c>
      <c r="AK20" s="34">
        <f>AJ20*1000/AH20</f>
        <v>124561.87027396543</v>
      </c>
      <c r="AL20" s="21">
        <v>1000000</v>
      </c>
      <c r="AM20" s="25"/>
      <c r="AN20" s="25">
        <f>SUM(AN$9:AN$14)+AN$8/AL$8*(AL$8-AM$8+1111000)-AN$17-AN$18-AN$19</f>
        <v>149212915.6583112</v>
      </c>
      <c r="AO20" s="34">
        <f>AN20*1000/AL20</f>
        <v>149212.9156583112</v>
      </c>
      <c r="AP20" s="21">
        <v>1000000</v>
      </c>
      <c r="AQ20" s="25"/>
      <c r="AR20" s="25">
        <f>SUM(AR$9:AR$14)+AR$8/AP$8*(AP$8-AQ$8+1111000)-AR$17-AR$18-AR$19</f>
        <v>169504147.03642625</v>
      </c>
      <c r="AS20" s="34">
        <f>AR20*1000/AP20</f>
        <v>169504.14703642623</v>
      </c>
      <c r="AT20" s="21">
        <v>1000000</v>
      </c>
      <c r="AU20" s="25"/>
      <c r="AV20" s="25">
        <f>SUM(AV$9:AV$14)+AV$8/AT$8*(AT$8-AU$8+1111000)-AV$17-AV$18-AV$19</f>
        <v>167129271.98197967</v>
      </c>
      <c r="AW20" s="34">
        <f>AV20*1000/AT20</f>
        <v>167129.27198197966</v>
      </c>
    </row>
    <row r="21" spans="2:49" ht="12.75">
      <c r="B21" s="27">
        <f>B15-SUM(B17:B20)</f>
        <v>21107600</v>
      </c>
      <c r="C21" s="48">
        <f>B21/B15</f>
        <v>0.9499968494864663</v>
      </c>
      <c r="D21" s="28">
        <f>D15-SUM(D17:D20)</f>
        <v>124114490.51279332</v>
      </c>
      <c r="E21" s="35">
        <f>D21*1000/B21</f>
        <v>5880.085396387714</v>
      </c>
      <c r="F21" s="27">
        <f>F15-SUM(F17:F20)</f>
        <v>22153200</v>
      </c>
      <c r="G21" s="48">
        <f>F21/F15</f>
        <v>0.9522442207340033</v>
      </c>
      <c r="H21" s="28">
        <f>H15-SUM(H17:H20)</f>
        <v>167504231.8293606</v>
      </c>
      <c r="I21" s="35">
        <f>H21*1000/F21</f>
        <v>7561.175443247955</v>
      </c>
      <c r="J21" s="27">
        <f>J15-SUM(J17:J20)</f>
        <v>19536400</v>
      </c>
      <c r="K21" s="48">
        <f>J21/J15</f>
        <v>0.946191772329688</v>
      </c>
      <c r="L21" s="28">
        <f>L15-SUM(L17:L20)</f>
        <v>204801790.36301962</v>
      </c>
      <c r="M21" s="35">
        <f>L21*1000/J21</f>
        <v>10483.087486078275</v>
      </c>
      <c r="N21" s="27">
        <f>N15-SUM(N17:N20)</f>
        <v>21224720</v>
      </c>
      <c r="O21" s="48">
        <f>N21/N15</f>
        <v>0.95025904694364</v>
      </c>
      <c r="P21" s="28">
        <f>P15-SUM(P17:P20)</f>
        <v>319879477.55537146</v>
      </c>
      <c r="Q21" s="35">
        <f>P21*1000/N21</f>
        <v>15071.08115232481</v>
      </c>
      <c r="R21" s="27">
        <f>R15-SUM(R17:R20)</f>
        <v>21691263</v>
      </c>
      <c r="S21" s="48">
        <f>R21/R15</f>
        <v>0.9512767658192522</v>
      </c>
      <c r="T21" s="28">
        <f>T15-SUM(T17:T20)</f>
        <v>445554930.32342994</v>
      </c>
      <c r="U21" s="35">
        <f>T21*1000/R21</f>
        <v>20540.755525550998</v>
      </c>
      <c r="V21" s="27">
        <f>V15-SUM(V17:V20)</f>
        <v>20891500</v>
      </c>
      <c r="W21" s="48">
        <f>V21/V15</f>
        <v>0.9495057379843199</v>
      </c>
      <c r="X21" s="28">
        <f>X15-SUM(X17:X20)</f>
        <v>502661696.8467367</v>
      </c>
      <c r="Y21" s="35">
        <f>X21*1000/V21</f>
        <v>24060.584297285342</v>
      </c>
      <c r="Z21" s="27">
        <f>Z15-SUM(Z17:Z20)</f>
        <v>21966200</v>
      </c>
      <c r="AA21" s="48">
        <f>Z21/Z15</f>
        <v>0.9518572443797341</v>
      </c>
      <c r="AB21" s="28">
        <f>AB15-SUM(AB17:AB20)</f>
        <v>613983205.7447506</v>
      </c>
      <c r="AC21" s="35">
        <f>AB21*1000/Z21</f>
        <v>27951.270849976354</v>
      </c>
      <c r="AD21" s="27">
        <f>AD15-SUM(AD17:AD20)</f>
        <v>22455000</v>
      </c>
      <c r="AE21" s="48">
        <f>AD21/AD15</f>
        <v>0.9528558092166681</v>
      </c>
      <c r="AF21" s="28">
        <f>AF15-SUM(AF17:AF20)</f>
        <v>666237949.874581</v>
      </c>
      <c r="AG21" s="35">
        <f>AF21*1000/AD21</f>
        <v>29669.91538074286</v>
      </c>
      <c r="AH21" s="27">
        <f>AH15-SUM(AH17:AH20)</f>
        <v>22294031</v>
      </c>
      <c r="AI21" s="48">
        <f>AH21/AH15</f>
        <v>0.9525315732331224</v>
      </c>
      <c r="AJ21" s="28">
        <f>AJ15-SUM(AJ17:AJ20)</f>
        <v>746822329.9625828</v>
      </c>
      <c r="AK21" s="35">
        <f>AJ21*1000/AH21</f>
        <v>33498.75713201363</v>
      </c>
      <c r="AL21" s="27">
        <f>AL15-SUM(AL17:AL20)</f>
        <v>22867392</v>
      </c>
      <c r="AM21" s="48">
        <f>AL21/AL15</f>
        <v>0.953666617844933</v>
      </c>
      <c r="AN21" s="28">
        <f>AN15-SUM(AN17:AN20)</f>
        <v>871157256.5609069</v>
      </c>
      <c r="AO21" s="35">
        <f>AN21*1000/AL21</f>
        <v>38096.047706747966</v>
      </c>
      <c r="AP21" s="27">
        <f>AP15-SUM(AP17:AP20)</f>
        <v>28367827</v>
      </c>
      <c r="AQ21" s="48">
        <f>AP21/AP15</f>
        <v>0.962311933239406</v>
      </c>
      <c r="AR21" s="28">
        <f>AR15-SUM(AR17:AR20)</f>
        <v>1256842109.9470158</v>
      </c>
      <c r="AS21" s="35">
        <f>AR21*1000/AP21</f>
        <v>44305.19510525131</v>
      </c>
      <c r="AT21" s="27">
        <f>AT15-SUM(AT17:AT20)</f>
        <v>28641289</v>
      </c>
      <c r="AU21" s="48">
        <f>AT21/AT15</f>
        <v>0.9626583352964876</v>
      </c>
      <c r="AV21" s="28">
        <f>AV15-SUM(AV17:AV20)</f>
        <v>1364427435.6964748</v>
      </c>
      <c r="AW21" s="35">
        <f>AV21*1000/AT21</f>
        <v>47638.478690553166</v>
      </c>
    </row>
    <row r="23" ht="13.5" thickBot="1"/>
    <row r="24" spans="1:14" ht="12.75">
      <c r="A24" s="2" t="s">
        <v>11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4"/>
    </row>
    <row r="25" spans="1:14" ht="12.75">
      <c r="A25" s="5"/>
      <c r="C25" s="6">
        <v>1961</v>
      </c>
      <c r="D25" s="6">
        <v>1965</v>
      </c>
      <c r="E25" s="6">
        <v>1968</v>
      </c>
      <c r="F25" s="6">
        <v>1971</v>
      </c>
      <c r="G25" s="6">
        <v>1974</v>
      </c>
      <c r="H25" s="6">
        <v>1977</v>
      </c>
      <c r="I25" s="6">
        <v>1980</v>
      </c>
      <c r="J25" s="6">
        <v>1983</v>
      </c>
      <c r="K25" s="6">
        <v>1986</v>
      </c>
      <c r="L25" s="6">
        <v>1989</v>
      </c>
      <c r="M25" s="6">
        <v>1992</v>
      </c>
      <c r="N25" s="7">
        <v>1995</v>
      </c>
    </row>
    <row r="26" spans="1:14" ht="12.75">
      <c r="A26" s="8" t="s">
        <v>8</v>
      </c>
      <c r="C26" s="9">
        <f>E17</f>
        <v>2343125</v>
      </c>
      <c r="D26" s="9">
        <f>I17</f>
        <v>2252666.6666666665</v>
      </c>
      <c r="E26" s="9">
        <f>M17</f>
        <v>2467875</v>
      </c>
      <c r="F26" s="9">
        <f>Q17</f>
        <v>5589137.983034872</v>
      </c>
      <c r="G26" s="9">
        <f>U17</f>
        <v>5110398.154109589</v>
      </c>
      <c r="H26" s="9">
        <f>Y17</f>
        <v>5881729.411764706</v>
      </c>
      <c r="I26" s="9">
        <f>AC17</f>
        <v>8701044.444444444</v>
      </c>
      <c r="J26" s="9">
        <f>AG17</f>
        <v>10035975</v>
      </c>
      <c r="K26" s="9">
        <f>AK17</f>
        <v>14380311.085201794</v>
      </c>
      <c r="L26" s="9">
        <f>AO17</f>
        <v>34630075.06471096</v>
      </c>
      <c r="M26" s="9">
        <f>AS17</f>
        <v>16694277.053149607</v>
      </c>
      <c r="N26" s="10">
        <f>AW17</f>
        <v>16930761.026463512</v>
      </c>
    </row>
    <row r="27" spans="1:14" ht="12.75">
      <c r="A27" s="8" t="s">
        <v>7</v>
      </c>
      <c r="C27" s="9">
        <f>E18</f>
        <v>576318.8402061856</v>
      </c>
      <c r="D27" s="9">
        <f>I18</f>
        <v>771489.0167865708</v>
      </c>
      <c r="E27" s="9">
        <f>M18</f>
        <v>792530.0862068966</v>
      </c>
      <c r="F27" s="9">
        <f>Q18</f>
        <v>961749.3727808503</v>
      </c>
      <c r="G27" s="9">
        <f>U18</f>
        <v>997770.0424321782</v>
      </c>
      <c r="H27" s="9">
        <f>Y18</f>
        <v>1229734.2209856915</v>
      </c>
      <c r="I27" s="9">
        <f>AC18</f>
        <v>1670303.0209933438</v>
      </c>
      <c r="J27" s="9">
        <f>AG18</f>
        <v>1734950.4146919434</v>
      </c>
      <c r="K27" s="9">
        <f>AK18</f>
        <v>2150274.9090982615</v>
      </c>
      <c r="L27" s="9">
        <f>AO18</f>
        <v>2720263.5087462957</v>
      </c>
      <c r="M27" s="9">
        <f>AS18</f>
        <v>3108169.4745972236</v>
      </c>
      <c r="N27" s="10">
        <f>AW18</f>
        <v>2694409.150609799</v>
      </c>
    </row>
    <row r="28" spans="1:14" ht="12.75">
      <c r="A28" s="8" t="s">
        <v>6</v>
      </c>
      <c r="C28" s="9">
        <f>E19</f>
        <v>101163.96097514057</v>
      </c>
      <c r="D28" s="9">
        <f>I19</f>
        <v>147107.64895849917</v>
      </c>
      <c r="E28" s="9">
        <f>M19</f>
        <v>165121.24137931035</v>
      </c>
      <c r="F28" s="9">
        <f>Q19</f>
        <v>204703.31203885315</v>
      </c>
      <c r="G28" s="9">
        <f>U19</f>
        <v>238128.4388619127</v>
      </c>
      <c r="H28" s="9">
        <f>Y19</f>
        <v>301433.5787923897</v>
      </c>
      <c r="I28" s="9">
        <f>AC19</f>
        <v>398203.97856298677</v>
      </c>
      <c r="J28" s="9">
        <f>AG19</f>
        <v>395912.65121570765</v>
      </c>
      <c r="K28" s="9">
        <f>AK19</f>
        <v>452698.06587267364</v>
      </c>
      <c r="L28" s="9">
        <f>AO19</f>
        <v>529472.32628608</v>
      </c>
      <c r="M28" s="9">
        <f>AS19</f>
        <v>662791.4521743599</v>
      </c>
      <c r="N28" s="10">
        <f>AW19</f>
        <v>597944.3978898402</v>
      </c>
    </row>
    <row r="29" spans="1:14" ht="12.75">
      <c r="A29" s="8" t="s">
        <v>9</v>
      </c>
      <c r="C29" s="9">
        <f>E20</f>
        <v>21327.79998763077</v>
      </c>
      <c r="D29" s="9">
        <f>I20</f>
        <v>34483.54644025709</v>
      </c>
      <c r="E29" s="9">
        <f>M20</f>
        <v>23869.609636980385</v>
      </c>
      <c r="F29" s="9">
        <f>Q20</f>
        <v>45657.40352989985</v>
      </c>
      <c r="G29" s="9">
        <f>U20</f>
        <v>54402.968211947424</v>
      </c>
      <c r="H29" s="9">
        <f>Y20</f>
        <v>66845.77365240268</v>
      </c>
      <c r="I29" s="9">
        <f>AC20</f>
        <v>86925.12174457278</v>
      </c>
      <c r="J29" s="9">
        <f>AG20</f>
        <v>96598.50585692884</v>
      </c>
      <c r="K29" s="9">
        <f>AK20</f>
        <v>124561.87027396543</v>
      </c>
      <c r="L29" s="9">
        <f>AO20</f>
        <v>149212.9156583112</v>
      </c>
      <c r="M29" s="9">
        <f>AS20</f>
        <v>169504.14703642623</v>
      </c>
      <c r="N29" s="10">
        <f>AW20</f>
        <v>167129.27198197966</v>
      </c>
    </row>
    <row r="30" spans="1:14" ht="13.5" thickBot="1">
      <c r="A30" s="11" t="s">
        <v>10</v>
      </c>
      <c r="B30" s="14"/>
      <c r="C30" s="12">
        <f>E21</f>
        <v>5880.085396387714</v>
      </c>
      <c r="D30" s="12">
        <f>I21</f>
        <v>7561.175443247955</v>
      </c>
      <c r="E30" s="12">
        <f>M21</f>
        <v>10483.087486078275</v>
      </c>
      <c r="F30" s="12">
        <f>Q21</f>
        <v>15071.08115232481</v>
      </c>
      <c r="G30" s="12">
        <f>U21</f>
        <v>20540.755525550998</v>
      </c>
      <c r="H30" s="12">
        <f>Y21</f>
        <v>24060.584297285342</v>
      </c>
      <c r="I30" s="12">
        <f>AC21</f>
        <v>27951.270849976354</v>
      </c>
      <c r="J30" s="12">
        <f>AG21</f>
        <v>29669.91538074286</v>
      </c>
      <c r="K30" s="12">
        <f>AK21</f>
        <v>33498.75713201363</v>
      </c>
      <c r="L30" s="12">
        <f>AO21</f>
        <v>38096.047706747966</v>
      </c>
      <c r="M30" s="12">
        <f>AS21</f>
        <v>44305.19510525131</v>
      </c>
      <c r="N30" s="13">
        <f>AW21</f>
        <v>47638.478690553166</v>
      </c>
    </row>
    <row r="31" ht="13.5" thickBot="1"/>
    <row r="32" spans="1:14" ht="12.75">
      <c r="A32" s="2" t="s">
        <v>13</v>
      </c>
      <c r="B32" s="3"/>
      <c r="C32" s="3">
        <f>230*8</f>
        <v>1840</v>
      </c>
      <c r="D32" s="3" t="s">
        <v>12</v>
      </c>
      <c r="E32" s="3"/>
      <c r="F32" s="3"/>
      <c r="G32" s="3"/>
      <c r="H32" s="3"/>
      <c r="I32" s="3"/>
      <c r="J32" s="3"/>
      <c r="K32" s="3"/>
      <c r="L32" s="3"/>
      <c r="M32" s="3"/>
      <c r="N32" s="4"/>
    </row>
    <row r="33" spans="1:14" ht="12.75">
      <c r="A33" s="5"/>
      <c r="B33" s="6"/>
      <c r="C33" s="6">
        <v>1961</v>
      </c>
      <c r="D33" s="6">
        <v>1965</v>
      </c>
      <c r="E33" s="6">
        <v>1968</v>
      </c>
      <c r="F33" s="6">
        <v>1971</v>
      </c>
      <c r="G33" s="6">
        <v>1974</v>
      </c>
      <c r="H33" s="6">
        <v>1977</v>
      </c>
      <c r="I33" s="6">
        <v>1980</v>
      </c>
      <c r="J33" s="6">
        <v>1983</v>
      </c>
      <c r="K33" s="6">
        <v>1986</v>
      </c>
      <c r="L33" s="6">
        <v>1989</v>
      </c>
      <c r="M33" s="6">
        <v>1992</v>
      </c>
      <c r="N33" s="7">
        <v>1995</v>
      </c>
    </row>
    <row r="34" spans="1:14" ht="12.75">
      <c r="A34" s="8" t="s">
        <v>8</v>
      </c>
      <c r="B34" s="6"/>
      <c r="C34" s="9">
        <f aca="true" t="shared" si="24" ref="C34:N34">C26/$C$32</f>
        <v>1273.4375</v>
      </c>
      <c r="D34" s="9">
        <f t="shared" si="24"/>
        <v>1224.2753623188405</v>
      </c>
      <c r="E34" s="9">
        <f t="shared" si="24"/>
        <v>1341.2364130434783</v>
      </c>
      <c r="F34" s="9">
        <f t="shared" si="24"/>
        <v>3037.574990779822</v>
      </c>
      <c r="G34" s="9">
        <f t="shared" si="24"/>
        <v>2777.390301146516</v>
      </c>
      <c r="H34" s="9">
        <f t="shared" si="24"/>
        <v>3196.5920716112532</v>
      </c>
      <c r="I34" s="9">
        <f t="shared" si="24"/>
        <v>4728.828502415458</v>
      </c>
      <c r="J34" s="9">
        <f t="shared" si="24"/>
        <v>5454.334239130435</v>
      </c>
      <c r="K34" s="9">
        <f t="shared" si="24"/>
        <v>7815.3864593488015</v>
      </c>
      <c r="L34" s="9">
        <f t="shared" si="24"/>
        <v>18820.692969951608</v>
      </c>
      <c r="M34" s="9">
        <f t="shared" si="24"/>
        <v>9072.976659320439</v>
      </c>
      <c r="N34" s="10">
        <f t="shared" si="24"/>
        <v>9201.500557860605</v>
      </c>
    </row>
    <row r="35" spans="1:14" ht="12.75">
      <c r="A35" s="8" t="s">
        <v>7</v>
      </c>
      <c r="B35" s="6"/>
      <c r="C35" s="9">
        <f aca="true" t="shared" si="25" ref="C35:N35">C27/$C$32</f>
        <v>313.2167609816226</v>
      </c>
      <c r="D35" s="9">
        <f t="shared" si="25"/>
        <v>419.2875091231363</v>
      </c>
      <c r="E35" s="9">
        <f t="shared" si="25"/>
        <v>430.72287293853077</v>
      </c>
      <c r="F35" s="9">
        <f t="shared" si="25"/>
        <v>522.6898765113317</v>
      </c>
      <c r="G35" s="9">
        <f t="shared" si="25"/>
        <v>542.2663274087924</v>
      </c>
      <c r="H35" s="9">
        <f t="shared" si="25"/>
        <v>668.3338157530932</v>
      </c>
      <c r="I35" s="9">
        <f t="shared" si="25"/>
        <v>907.7733809746434</v>
      </c>
      <c r="J35" s="9">
        <f t="shared" si="25"/>
        <v>942.9078340717084</v>
      </c>
      <c r="K35" s="9">
        <f t="shared" si="25"/>
        <v>1168.6276679881855</v>
      </c>
      <c r="L35" s="9">
        <f t="shared" si="25"/>
        <v>1478.4040808403781</v>
      </c>
      <c r="M35" s="9">
        <f t="shared" si="25"/>
        <v>1689.2225405419692</v>
      </c>
      <c r="N35" s="10">
        <f t="shared" si="25"/>
        <v>1464.352799244456</v>
      </c>
    </row>
    <row r="36" spans="1:14" ht="12.75">
      <c r="A36" s="8" t="s">
        <v>6</v>
      </c>
      <c r="B36" s="6"/>
      <c r="C36" s="9">
        <f aca="true" t="shared" si="26" ref="C36:N36">C28/$C$32</f>
        <v>54.98041357344596</v>
      </c>
      <c r="D36" s="9">
        <f t="shared" si="26"/>
        <v>79.94980921657563</v>
      </c>
      <c r="E36" s="9">
        <f t="shared" si="26"/>
        <v>89.73980509745128</v>
      </c>
      <c r="F36" s="9">
        <f t="shared" si="26"/>
        <v>111.25180002111584</v>
      </c>
      <c r="G36" s="9">
        <f t="shared" si="26"/>
        <v>129.4176298162569</v>
      </c>
      <c r="H36" s="9">
        <f t="shared" si="26"/>
        <v>163.82259716977703</v>
      </c>
      <c r="I36" s="9">
        <f t="shared" si="26"/>
        <v>216.4152057407537</v>
      </c>
      <c r="J36" s="9">
        <f t="shared" si="26"/>
        <v>215.16991913897155</v>
      </c>
      <c r="K36" s="9">
        <f t="shared" si="26"/>
        <v>246.03155753949653</v>
      </c>
      <c r="L36" s="9">
        <f t="shared" si="26"/>
        <v>287.7566990685217</v>
      </c>
      <c r="M36" s="9">
        <f t="shared" si="26"/>
        <v>360.21274574693473</v>
      </c>
      <c r="N36" s="10">
        <f t="shared" si="26"/>
        <v>324.9697814618697</v>
      </c>
    </row>
    <row r="37" spans="1:14" ht="12.75">
      <c r="A37" s="8" t="s">
        <v>9</v>
      </c>
      <c r="B37" s="6"/>
      <c r="C37" s="9">
        <f aca="true" t="shared" si="27" ref="C37:N37">C29/$C$32</f>
        <v>11.591195645451505</v>
      </c>
      <c r="D37" s="9">
        <f t="shared" si="27"/>
        <v>18.74105784796581</v>
      </c>
      <c r="E37" s="9">
        <f t="shared" si="27"/>
        <v>12.972613933141513</v>
      </c>
      <c r="F37" s="9">
        <f t="shared" si="27"/>
        <v>24.81380626624992</v>
      </c>
      <c r="G37" s="9">
        <f t="shared" si="27"/>
        <v>29.566830549971424</v>
      </c>
      <c r="H37" s="9">
        <f t="shared" si="27"/>
        <v>36.329224811088416</v>
      </c>
      <c r="I37" s="9">
        <f t="shared" si="27"/>
        <v>47.24191399161564</v>
      </c>
      <c r="J37" s="9">
        <f t="shared" si="27"/>
        <v>52.49918796572219</v>
      </c>
      <c r="K37" s="9">
        <f t="shared" si="27"/>
        <v>67.69666862715512</v>
      </c>
      <c r="L37" s="9">
        <f t="shared" si="27"/>
        <v>81.09397590125609</v>
      </c>
      <c r="M37" s="9">
        <f t="shared" si="27"/>
        <v>92.121819041536</v>
      </c>
      <c r="N37" s="10">
        <f t="shared" si="27"/>
        <v>90.83112607716286</v>
      </c>
    </row>
    <row r="38" spans="1:14" ht="13.5" thickBot="1">
      <c r="A38" s="11" t="s">
        <v>10</v>
      </c>
      <c r="B38" s="14"/>
      <c r="C38" s="12">
        <f aca="true" t="shared" si="28" ref="C38:N38">C30/$C$32</f>
        <v>3.195698584993323</v>
      </c>
      <c r="D38" s="12">
        <f t="shared" si="28"/>
        <v>4.109334480026062</v>
      </c>
      <c r="E38" s="12">
        <f t="shared" si="28"/>
        <v>5.6973301554773235</v>
      </c>
      <c r="F38" s="12">
        <f t="shared" si="28"/>
        <v>8.190804974089572</v>
      </c>
      <c r="G38" s="12">
        <f t="shared" si="28"/>
        <v>11.163454089973369</v>
      </c>
      <c r="H38" s="12">
        <f t="shared" si="28"/>
        <v>13.076404509394209</v>
      </c>
      <c r="I38" s="12">
        <f t="shared" si="28"/>
        <v>15.190908070639322</v>
      </c>
      <c r="J38" s="12">
        <f t="shared" si="28"/>
        <v>16.124954011273292</v>
      </c>
      <c r="K38" s="12">
        <f t="shared" si="28"/>
        <v>18.20584626739871</v>
      </c>
      <c r="L38" s="12">
        <f t="shared" si="28"/>
        <v>20.704373753667372</v>
      </c>
      <c r="M38" s="12">
        <f t="shared" si="28"/>
        <v>24.078910383288754</v>
      </c>
      <c r="N38" s="13">
        <f t="shared" si="28"/>
        <v>25.890477549213678</v>
      </c>
    </row>
    <row r="39" spans="1:14" ht="12.75">
      <c r="A39" s="6"/>
      <c r="B39" s="6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ht="13.5" thickBot="1">
      <c r="N40" s="47"/>
    </row>
    <row r="41" spans="1:14" ht="12.75">
      <c r="A41" s="2" t="s">
        <v>40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4"/>
    </row>
    <row r="42" spans="1:14" ht="12.75">
      <c r="A42" s="5"/>
      <c r="B42" s="6"/>
      <c r="C42" s="6">
        <v>1961</v>
      </c>
      <c r="D42" s="6">
        <v>1965</v>
      </c>
      <c r="E42" s="6">
        <v>1968</v>
      </c>
      <c r="F42" s="6">
        <v>1971</v>
      </c>
      <c r="G42" s="6">
        <v>1974</v>
      </c>
      <c r="H42" s="6">
        <v>1977</v>
      </c>
      <c r="I42" s="6">
        <v>1980</v>
      </c>
      <c r="J42" s="6">
        <v>1983</v>
      </c>
      <c r="K42" s="6">
        <v>1986</v>
      </c>
      <c r="L42" s="6">
        <v>1989</v>
      </c>
      <c r="M42" s="6">
        <v>1992</v>
      </c>
      <c r="N42" s="7">
        <v>1995</v>
      </c>
    </row>
    <row r="43" spans="1:14" ht="12.75">
      <c r="A43" s="5" t="s">
        <v>43</v>
      </c>
      <c r="B43" s="6"/>
      <c r="C43" s="6" t="e">
        <f>NA()</f>
        <v>#N/A</v>
      </c>
      <c r="D43" s="6" t="e">
        <f>NA()</f>
        <v>#N/A</v>
      </c>
      <c r="E43" s="9">
        <v>93466000000</v>
      </c>
      <c r="F43" s="9">
        <v>121522000000</v>
      </c>
      <c r="G43" s="9">
        <v>158432000000</v>
      </c>
      <c r="H43" s="9">
        <v>208076000000</v>
      </c>
      <c r="I43" s="9">
        <v>257335000000</v>
      </c>
      <c r="J43" s="9">
        <v>295795000000</v>
      </c>
      <c r="K43" s="9">
        <v>358747000000</v>
      </c>
      <c r="L43" s="9">
        <v>450623000000</v>
      </c>
      <c r="M43" s="9">
        <v>669575000000</v>
      </c>
      <c r="N43" s="10">
        <v>816094000000</v>
      </c>
    </row>
    <row r="44" spans="1:14" ht="12.75">
      <c r="A44" s="36" t="s">
        <v>30</v>
      </c>
      <c r="B44" s="37"/>
      <c r="C44" s="37"/>
      <c r="D44" s="37"/>
      <c r="E44" s="37" t="s">
        <v>44</v>
      </c>
      <c r="F44" s="37" t="s">
        <v>44</v>
      </c>
      <c r="G44" s="37" t="s">
        <v>44</v>
      </c>
      <c r="H44" s="49" t="s">
        <v>46</v>
      </c>
      <c r="I44" s="49" t="s">
        <v>45</v>
      </c>
      <c r="J44" s="49" t="s">
        <v>45</v>
      </c>
      <c r="K44" s="49" t="s">
        <v>34</v>
      </c>
      <c r="L44" s="49" t="s">
        <v>34</v>
      </c>
      <c r="M44" s="49" t="s">
        <v>47</v>
      </c>
      <c r="N44" s="50" t="s">
        <v>47</v>
      </c>
    </row>
    <row r="45" spans="1:14" ht="12.75">
      <c r="A45" s="56" t="s">
        <v>38</v>
      </c>
      <c r="B45" s="57"/>
      <c r="C45" s="37"/>
      <c r="D45" s="37"/>
      <c r="E45" s="39">
        <f>E$26</f>
        <v>2467875</v>
      </c>
      <c r="F45" s="39">
        <f>F$26</f>
        <v>5589137.983034872</v>
      </c>
      <c r="G45" s="39">
        <f>G$26</f>
        <v>5110398.154109589</v>
      </c>
      <c r="H45" s="39">
        <f aca="true" t="shared" si="29" ref="H45:N45">H$26</f>
        <v>5881729.411764706</v>
      </c>
      <c r="I45" s="39">
        <f t="shared" si="29"/>
        <v>8701044.444444444</v>
      </c>
      <c r="J45" s="39">
        <f t="shared" si="29"/>
        <v>10035975</v>
      </c>
      <c r="K45" s="39">
        <f t="shared" si="29"/>
        <v>14380311.085201794</v>
      </c>
      <c r="L45" s="39">
        <f t="shared" si="29"/>
        <v>34630075.06471096</v>
      </c>
      <c r="M45" s="39">
        <f t="shared" si="29"/>
        <v>16694277.053149607</v>
      </c>
      <c r="N45" s="40">
        <f t="shared" si="29"/>
        <v>16930761.026463512</v>
      </c>
    </row>
    <row r="46" spans="1:14" ht="12.75">
      <c r="A46" s="56"/>
      <c r="B46" s="57"/>
      <c r="C46" s="41"/>
      <c r="D46" s="41"/>
      <c r="E46" s="41">
        <f aca="true" t="shared" si="30" ref="E46:N46">E45*10000</f>
        <v>24678750000</v>
      </c>
      <c r="F46" s="41">
        <f t="shared" si="30"/>
        <v>55891379830.348724</v>
      </c>
      <c r="G46" s="41">
        <f t="shared" si="30"/>
        <v>51103981541.09589</v>
      </c>
      <c r="H46" s="41">
        <f t="shared" si="30"/>
        <v>58817294117.64706</v>
      </c>
      <c r="I46" s="41">
        <f t="shared" si="30"/>
        <v>87010444444.44444</v>
      </c>
      <c r="J46" s="41">
        <f t="shared" si="30"/>
        <v>100359750000</v>
      </c>
      <c r="K46" s="41">
        <f t="shared" si="30"/>
        <v>143803110852.01794</v>
      </c>
      <c r="L46" s="41">
        <f t="shared" si="30"/>
        <v>346300750647.1096</v>
      </c>
      <c r="M46" s="41">
        <f t="shared" si="30"/>
        <v>166942770531.49606</v>
      </c>
      <c r="N46" s="43">
        <f t="shared" si="30"/>
        <v>169307610264.63513</v>
      </c>
    </row>
    <row r="47" spans="1:14" ht="12.75">
      <c r="A47" s="5" t="s">
        <v>31</v>
      </c>
      <c r="B47" s="6"/>
      <c r="C47" s="6"/>
      <c r="D47" s="6"/>
      <c r="E47" s="42">
        <f>E45/E43</f>
        <v>2.6403986476365737E-05</v>
      </c>
      <c r="F47" s="42">
        <f>F45/F43</f>
        <v>4.599280774703241E-05</v>
      </c>
      <c r="G47" s="42">
        <f>G45/G43</f>
        <v>3.2256098225797746E-05</v>
      </c>
      <c r="H47" s="42">
        <f aca="true" t="shared" si="31" ref="H47:N47">H45/H43</f>
        <v>2.826721684271471E-05</v>
      </c>
      <c r="I47" s="42">
        <f t="shared" si="31"/>
        <v>3.381212988689624E-05</v>
      </c>
      <c r="J47" s="42">
        <f t="shared" si="31"/>
        <v>3.3928818945553506E-05</v>
      </c>
      <c r="K47" s="42">
        <f t="shared" si="31"/>
        <v>4.008482603395093E-05</v>
      </c>
      <c r="L47" s="42">
        <f t="shared" si="31"/>
        <v>7.684932873979127E-05</v>
      </c>
      <c r="M47" s="42">
        <f t="shared" si="31"/>
        <v>2.4932646907590048E-05</v>
      </c>
      <c r="N47" s="44">
        <f t="shared" si="31"/>
        <v>2.074609178166181E-05</v>
      </c>
    </row>
    <row r="48" spans="1:14" ht="13.5" thickBot="1">
      <c r="A48" s="11" t="s">
        <v>41</v>
      </c>
      <c r="B48" s="14"/>
      <c r="C48" s="14"/>
      <c r="D48" s="14"/>
      <c r="E48" s="45">
        <f>E45</f>
        <v>2467875</v>
      </c>
      <c r="F48" s="45">
        <f>F45</f>
        <v>5589137.983034872</v>
      </c>
      <c r="G48" s="45">
        <f>G45</f>
        <v>5110398.154109589</v>
      </c>
      <c r="H48" s="45">
        <f>$G45/$G43*H43</f>
        <v>6711719.894431092</v>
      </c>
      <c r="I48" s="45">
        <f aca="true" t="shared" si="32" ref="I48:N48">$G45/$G43*I43</f>
        <v>8300623.036935663</v>
      </c>
      <c r="J48" s="45">
        <f t="shared" si="32"/>
        <v>9541192.574699843</v>
      </c>
      <c r="K48" s="45">
        <f t="shared" si="32"/>
        <v>11571778.470210264</v>
      </c>
      <c r="L48" s="45">
        <f t="shared" si="32"/>
        <v>14535339.750803657</v>
      </c>
      <c r="M48" s="45">
        <f t="shared" si="32"/>
        <v>21597876.969538525</v>
      </c>
      <c r="N48" s="46">
        <f t="shared" si="32"/>
        <v>26324008.225484185</v>
      </c>
    </row>
    <row r="49" ht="13.5" thickBot="1"/>
    <row r="50" spans="1:14" ht="12.75">
      <c r="A50" s="2" t="s">
        <v>42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4"/>
    </row>
    <row r="51" spans="1:14" ht="12.75">
      <c r="A51" s="5"/>
      <c r="B51" s="6"/>
      <c r="C51" s="6">
        <v>1961</v>
      </c>
      <c r="D51" s="6">
        <v>1965</v>
      </c>
      <c r="E51" s="6">
        <v>1968</v>
      </c>
      <c r="F51" s="6">
        <v>1971</v>
      </c>
      <c r="G51" s="6">
        <v>1974</v>
      </c>
      <c r="H51" s="6">
        <v>1977</v>
      </c>
      <c r="I51" s="6">
        <v>1980</v>
      </c>
      <c r="J51" s="6">
        <v>1983</v>
      </c>
      <c r="K51" s="6">
        <v>1986</v>
      </c>
      <c r="L51" s="6">
        <v>1989</v>
      </c>
      <c r="M51" s="6">
        <v>1992</v>
      </c>
      <c r="N51" s="7">
        <v>1995</v>
      </c>
    </row>
    <row r="52" spans="1:14" ht="12.75">
      <c r="A52" s="5" t="s">
        <v>43</v>
      </c>
      <c r="B52" s="6"/>
      <c r="C52" s="6" t="e">
        <f>C43</f>
        <v>#N/A</v>
      </c>
      <c r="D52" s="6" t="e">
        <f aca="true" t="shared" si="33" ref="D52:N53">D43</f>
        <v>#N/A</v>
      </c>
      <c r="E52" s="9">
        <f t="shared" si="33"/>
        <v>93466000000</v>
      </c>
      <c r="F52" s="9">
        <f t="shared" si="33"/>
        <v>121522000000</v>
      </c>
      <c r="G52" s="9">
        <f t="shared" si="33"/>
        <v>158432000000</v>
      </c>
      <c r="H52" s="9">
        <f t="shared" si="33"/>
        <v>208076000000</v>
      </c>
      <c r="I52" s="9">
        <f t="shared" si="33"/>
        <v>257335000000</v>
      </c>
      <c r="J52" s="9">
        <f t="shared" si="33"/>
        <v>295795000000</v>
      </c>
      <c r="K52" s="9">
        <f t="shared" si="33"/>
        <v>358747000000</v>
      </c>
      <c r="L52" s="9">
        <f t="shared" si="33"/>
        <v>450623000000</v>
      </c>
      <c r="M52" s="9">
        <f t="shared" si="33"/>
        <v>669575000000</v>
      </c>
      <c r="N52" s="10">
        <f t="shared" si="33"/>
        <v>816094000000</v>
      </c>
    </row>
    <row r="53" spans="1:14" ht="12.75">
      <c r="A53" s="36" t="s">
        <v>30</v>
      </c>
      <c r="B53" s="37"/>
      <c r="C53" s="37"/>
      <c r="D53" s="37"/>
      <c r="E53" s="37" t="str">
        <f t="shared" si="33"/>
        <v>1975, 358</v>
      </c>
      <c r="F53" s="37" t="str">
        <f t="shared" si="33"/>
        <v>1975, 358</v>
      </c>
      <c r="G53" s="37" t="str">
        <f t="shared" si="33"/>
        <v>1975, 358</v>
      </c>
      <c r="H53" s="49" t="str">
        <f t="shared" si="33"/>
        <v>1979, 301</v>
      </c>
      <c r="I53" s="49" t="str">
        <f t="shared" si="33"/>
        <v>1985, 315</v>
      </c>
      <c r="J53" s="49" t="str">
        <f t="shared" si="33"/>
        <v>1985, 315</v>
      </c>
      <c r="K53" s="49" t="str">
        <f t="shared" si="33"/>
        <v>1991, 345</v>
      </c>
      <c r="L53" s="49" t="str">
        <f t="shared" si="33"/>
        <v>1991, 345</v>
      </c>
      <c r="M53" s="49" t="str">
        <f t="shared" si="33"/>
        <v>1999, 332</v>
      </c>
      <c r="N53" s="50" t="str">
        <f t="shared" si="33"/>
        <v>1999, 332</v>
      </c>
    </row>
    <row r="54" spans="1:14" ht="12.75">
      <c r="A54" s="56" t="s">
        <v>39</v>
      </c>
      <c r="B54" s="57"/>
      <c r="C54" s="37"/>
      <c r="D54" s="37"/>
      <c r="E54" s="39">
        <f>E$30</f>
        <v>10483.087486078275</v>
      </c>
      <c r="F54" s="39">
        <f>F$30</f>
        <v>15071.08115232481</v>
      </c>
      <c r="G54" s="39">
        <f>G$30</f>
        <v>20540.755525550998</v>
      </c>
      <c r="H54" s="39">
        <f aca="true" t="shared" si="34" ref="H54:N54">H$30</f>
        <v>24060.584297285342</v>
      </c>
      <c r="I54" s="39">
        <f t="shared" si="34"/>
        <v>27951.270849976354</v>
      </c>
      <c r="J54" s="39">
        <f t="shared" si="34"/>
        <v>29669.91538074286</v>
      </c>
      <c r="K54" s="39">
        <f t="shared" si="34"/>
        <v>33498.75713201363</v>
      </c>
      <c r="L54" s="39">
        <f t="shared" si="34"/>
        <v>38096.047706747966</v>
      </c>
      <c r="M54" s="39">
        <f t="shared" si="34"/>
        <v>44305.19510525131</v>
      </c>
      <c r="N54" s="40">
        <f t="shared" si="34"/>
        <v>47638.478690553166</v>
      </c>
    </row>
    <row r="55" spans="1:15" ht="12.75">
      <c r="A55" s="56"/>
      <c r="B55" s="57"/>
      <c r="C55" s="41"/>
      <c r="D55" s="41"/>
      <c r="E55" s="41">
        <f>E54*1000000</f>
        <v>10483087486.078276</v>
      </c>
      <c r="F55" s="41">
        <f aca="true" t="shared" si="35" ref="F55:N55">F54*1000000</f>
        <v>15071081152.32481</v>
      </c>
      <c r="G55" s="41">
        <f t="shared" si="35"/>
        <v>20540755525.551</v>
      </c>
      <c r="H55" s="41">
        <f t="shared" si="35"/>
        <v>24060584297.285343</v>
      </c>
      <c r="I55" s="41">
        <f t="shared" si="35"/>
        <v>27951270849.976353</v>
      </c>
      <c r="J55" s="41">
        <f t="shared" si="35"/>
        <v>29669915380.74286</v>
      </c>
      <c r="K55" s="41">
        <f t="shared" si="35"/>
        <v>33498757132.013626</v>
      </c>
      <c r="L55" s="41">
        <f t="shared" si="35"/>
        <v>38096047706.74796</v>
      </c>
      <c r="M55" s="41">
        <f t="shared" si="35"/>
        <v>44305195105.25131</v>
      </c>
      <c r="N55" s="43">
        <f t="shared" si="35"/>
        <v>47638478690.55317</v>
      </c>
      <c r="O55" t="s">
        <v>48</v>
      </c>
    </row>
    <row r="56" spans="1:15" ht="12.75">
      <c r="A56" s="5" t="s">
        <v>31</v>
      </c>
      <c r="B56" s="6"/>
      <c r="C56" s="6"/>
      <c r="D56" s="6"/>
      <c r="E56" s="42">
        <f>E54/E52</f>
        <v>1.1215936796351909E-07</v>
      </c>
      <c r="F56" s="42">
        <f>F54/F52</f>
        <v>1.2401936400260703E-07</v>
      </c>
      <c r="G56" s="42">
        <f>G54/G52</f>
        <v>1.2965029492495832E-07</v>
      </c>
      <c r="H56" s="42">
        <f aca="true" t="shared" si="36" ref="H56:N56">H54/H52</f>
        <v>1.156336352932839E-07</v>
      </c>
      <c r="I56" s="42">
        <f t="shared" si="36"/>
        <v>1.0861822468757205E-07</v>
      </c>
      <c r="J56" s="42">
        <f t="shared" si="36"/>
        <v>1.0030566906385456E-07</v>
      </c>
      <c r="K56" s="42">
        <f t="shared" si="36"/>
        <v>9.337710735424582E-08</v>
      </c>
      <c r="L56" s="42">
        <f t="shared" si="36"/>
        <v>8.454084169416112E-08</v>
      </c>
      <c r="M56" s="42">
        <f t="shared" si="36"/>
        <v>6.616912982899797E-08</v>
      </c>
      <c r="N56" s="44">
        <f t="shared" si="36"/>
        <v>5.837376416264936E-08</v>
      </c>
      <c r="O56" s="51">
        <f>N56/G56</f>
        <v>0.4502401185931442</v>
      </c>
    </row>
    <row r="57" spans="1:14" ht="13.5" thickBot="1">
      <c r="A57" s="11" t="s">
        <v>41</v>
      </c>
      <c r="B57" s="14"/>
      <c r="C57" s="14"/>
      <c r="D57" s="14"/>
      <c r="E57" s="45">
        <f>E54</f>
        <v>10483.087486078275</v>
      </c>
      <c r="F57" s="45">
        <f>F54</f>
        <v>15071.08115232481</v>
      </c>
      <c r="G57" s="45">
        <f>G54</f>
        <v>20540.755525550998</v>
      </c>
      <c r="H57" s="45">
        <f>$G54/$G52*H52</f>
        <v>26977.114766805626</v>
      </c>
      <c r="I57" s="45">
        <f aca="true" t="shared" si="37" ref="I57:N57">$G54/$G52*I52</f>
        <v>33363.558644514145</v>
      </c>
      <c r="J57" s="45">
        <f t="shared" si="37"/>
        <v>38349.908987328046</v>
      </c>
      <c r="K57" s="45">
        <f t="shared" si="37"/>
        <v>46511.65435344402</v>
      </c>
      <c r="L57" s="45">
        <f t="shared" si="37"/>
        <v>58423.40484996949</v>
      </c>
      <c r="M57" s="45">
        <f t="shared" si="37"/>
        <v>86810.59622437897</v>
      </c>
      <c r="N57" s="46">
        <f t="shared" si="37"/>
        <v>105806.82778648894</v>
      </c>
    </row>
    <row r="58" ht="13.5" thickBot="1"/>
    <row r="59" spans="1:14" ht="12.75">
      <c r="A59" s="2" t="s">
        <v>37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4"/>
    </row>
    <row r="60" spans="1:14" ht="12.75">
      <c r="A60" s="5"/>
      <c r="B60" s="6"/>
      <c r="C60" s="6">
        <v>1961</v>
      </c>
      <c r="D60" s="6">
        <v>1965</v>
      </c>
      <c r="E60" s="6">
        <v>1968</v>
      </c>
      <c r="F60" s="6">
        <v>1971</v>
      </c>
      <c r="G60" s="6">
        <v>1974</v>
      </c>
      <c r="H60" s="6">
        <v>1977</v>
      </c>
      <c r="I60" s="6">
        <v>1980</v>
      </c>
      <c r="J60" s="6">
        <v>1983</v>
      </c>
      <c r="K60" s="6">
        <v>1986</v>
      </c>
      <c r="L60" s="6">
        <v>1989</v>
      </c>
      <c r="M60" s="6">
        <v>1992</v>
      </c>
      <c r="N60" s="7">
        <v>1995</v>
      </c>
    </row>
    <row r="61" spans="1:14" ht="12.75">
      <c r="A61" s="5" t="s">
        <v>28</v>
      </c>
      <c r="B61" s="6"/>
      <c r="C61" s="6" t="e">
        <f>NA()</f>
        <v>#N/A</v>
      </c>
      <c r="D61" s="6" t="e">
        <f>NA()</f>
        <v>#N/A</v>
      </c>
      <c r="E61" s="6" t="e">
        <f>NA()</f>
        <v>#N/A</v>
      </c>
      <c r="F61" s="6" t="e">
        <f>NA()</f>
        <v>#N/A</v>
      </c>
      <c r="G61" s="9">
        <v>452205000000</v>
      </c>
      <c r="H61" s="9">
        <v>591473000000</v>
      </c>
      <c r="I61" s="9">
        <v>739431000000</v>
      </c>
      <c r="J61" s="9">
        <v>874843000000</v>
      </c>
      <c r="K61" s="9">
        <v>1050687000000</v>
      </c>
      <c r="L61" s="9">
        <v>1255458000000</v>
      </c>
      <c r="M61" s="9">
        <v>1718696000000</v>
      </c>
      <c r="N61" s="10">
        <v>2007441000000</v>
      </c>
    </row>
    <row r="62" spans="1:14" ht="12.75">
      <c r="A62" s="36" t="s">
        <v>30</v>
      </c>
      <c r="B62" s="37"/>
      <c r="C62" s="37"/>
      <c r="D62" s="37"/>
      <c r="E62" s="37"/>
      <c r="F62" s="37"/>
      <c r="G62" s="37" t="s">
        <v>32</v>
      </c>
      <c r="H62" s="37" t="s">
        <v>32</v>
      </c>
      <c r="I62" s="37" t="s">
        <v>33</v>
      </c>
      <c r="J62" s="37" t="s">
        <v>33</v>
      </c>
      <c r="K62" s="37" t="s">
        <v>34</v>
      </c>
      <c r="L62" s="37" t="s">
        <v>34</v>
      </c>
      <c r="M62" s="37" t="s">
        <v>35</v>
      </c>
      <c r="N62" s="38" t="s">
        <v>35</v>
      </c>
    </row>
    <row r="63" spans="1:14" ht="12.75">
      <c r="A63" s="56" t="s">
        <v>38</v>
      </c>
      <c r="B63" s="57"/>
      <c r="C63" s="37"/>
      <c r="D63" s="37"/>
      <c r="E63" s="37"/>
      <c r="F63" s="37"/>
      <c r="G63" s="39">
        <f>G$26</f>
        <v>5110398.154109589</v>
      </c>
      <c r="H63" s="39">
        <f aca="true" t="shared" si="38" ref="H63:N63">H$26</f>
        <v>5881729.411764706</v>
      </c>
      <c r="I63" s="39">
        <f t="shared" si="38"/>
        <v>8701044.444444444</v>
      </c>
      <c r="J63" s="39">
        <f t="shared" si="38"/>
        <v>10035975</v>
      </c>
      <c r="K63" s="39">
        <f t="shared" si="38"/>
        <v>14380311.085201794</v>
      </c>
      <c r="L63" s="39">
        <f t="shared" si="38"/>
        <v>34630075.06471096</v>
      </c>
      <c r="M63" s="39">
        <f t="shared" si="38"/>
        <v>16694277.053149607</v>
      </c>
      <c r="N63" s="40">
        <f t="shared" si="38"/>
        <v>16930761.026463512</v>
      </c>
    </row>
    <row r="64" spans="1:14" ht="12.75">
      <c r="A64" s="56"/>
      <c r="B64" s="57"/>
      <c r="C64" s="41"/>
      <c r="D64" s="41"/>
      <c r="E64" s="41"/>
      <c r="F64" s="41"/>
      <c r="G64" s="41">
        <f>G63*10000</f>
        <v>51103981541.09589</v>
      </c>
      <c r="H64" s="41">
        <f aca="true" t="shared" si="39" ref="H64:N64">H63*10000</f>
        <v>58817294117.64706</v>
      </c>
      <c r="I64" s="41">
        <f t="shared" si="39"/>
        <v>87010444444.44444</v>
      </c>
      <c r="J64" s="41">
        <f t="shared" si="39"/>
        <v>100359750000</v>
      </c>
      <c r="K64" s="41">
        <f t="shared" si="39"/>
        <v>143803110852.01794</v>
      </c>
      <c r="L64" s="41">
        <f t="shared" si="39"/>
        <v>346300750647.1096</v>
      </c>
      <c r="M64" s="41">
        <f t="shared" si="39"/>
        <v>166942770531.49606</v>
      </c>
      <c r="N64" s="43">
        <f t="shared" si="39"/>
        <v>169307610264.63513</v>
      </c>
    </row>
    <row r="65" spans="1:15" ht="12.75">
      <c r="A65" s="5" t="s">
        <v>31</v>
      </c>
      <c r="B65" s="6"/>
      <c r="C65" s="6"/>
      <c r="D65" s="6"/>
      <c r="E65" s="6"/>
      <c r="F65" s="6"/>
      <c r="G65" s="42">
        <f>G63/G61</f>
        <v>1.1301065123361282E-05</v>
      </c>
      <c r="H65" s="42">
        <f aca="true" t="shared" si="40" ref="H65:N65">H63/H61</f>
        <v>9.944206095231237E-06</v>
      </c>
      <c r="I65" s="42">
        <f t="shared" si="40"/>
        <v>1.1767216203329917E-05</v>
      </c>
      <c r="J65" s="42">
        <f t="shared" si="40"/>
        <v>1.1471744072936516E-05</v>
      </c>
      <c r="K65" s="42">
        <f t="shared" si="40"/>
        <v>1.3686579433458104E-05</v>
      </c>
      <c r="L65" s="42">
        <f t="shared" si="40"/>
        <v>2.758361893803772E-05</v>
      </c>
      <c r="M65" s="42">
        <f t="shared" si="40"/>
        <v>9.713339097286319E-06</v>
      </c>
      <c r="N65" s="44">
        <f t="shared" si="40"/>
        <v>8.434001809499513E-06</v>
      </c>
      <c r="O65" s="51"/>
    </row>
    <row r="66" spans="1:14" ht="13.5" thickBot="1">
      <c r="A66" s="11" t="s">
        <v>36</v>
      </c>
      <c r="B66" s="14"/>
      <c r="C66" s="14"/>
      <c r="D66" s="14"/>
      <c r="E66" s="14"/>
      <c r="F66" s="14"/>
      <c r="G66" s="45">
        <f>G63</f>
        <v>5110398.154109589</v>
      </c>
      <c r="H66" s="45">
        <f aca="true" t="shared" si="41" ref="H66:N66">$G63/$G61*H61</f>
        <v>6684274.891709868</v>
      </c>
      <c r="I66" s="45">
        <f t="shared" si="41"/>
        <v>8356357.885232156</v>
      </c>
      <c r="J66" s="45">
        <f t="shared" si="41"/>
        <v>9886657.715716755</v>
      </c>
      <c r="K66" s="45">
        <f t="shared" si="41"/>
        <v>11873882.211269096</v>
      </c>
      <c r="L66" s="45">
        <f t="shared" si="41"/>
        <v>14188012.617644908</v>
      </c>
      <c r="M66" s="45">
        <f t="shared" si="41"/>
        <v>19423095.423260543</v>
      </c>
      <c r="N66" s="46">
        <f t="shared" si="41"/>
        <v>22686221.472305495</v>
      </c>
    </row>
    <row r="67" ht="13.5" thickBot="1"/>
    <row r="68" spans="1:14" ht="12.75">
      <c r="A68" s="2" t="s">
        <v>29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4"/>
    </row>
    <row r="69" spans="1:14" ht="12.75">
      <c r="A69" s="5"/>
      <c r="B69" s="6"/>
      <c r="C69" s="6">
        <v>1961</v>
      </c>
      <c r="D69" s="6">
        <v>1965</v>
      </c>
      <c r="E69" s="6">
        <v>1968</v>
      </c>
      <c r="F69" s="6">
        <v>1971</v>
      </c>
      <c r="G69" s="6">
        <v>1974</v>
      </c>
      <c r="H69" s="6">
        <v>1977</v>
      </c>
      <c r="I69" s="6">
        <v>1980</v>
      </c>
      <c r="J69" s="6">
        <v>1983</v>
      </c>
      <c r="K69" s="6">
        <v>1986</v>
      </c>
      <c r="L69" s="6">
        <v>1989</v>
      </c>
      <c r="M69" s="6">
        <v>1992</v>
      </c>
      <c r="N69" s="7">
        <v>1995</v>
      </c>
    </row>
    <row r="70" spans="1:14" ht="12.75">
      <c r="A70" s="5" t="s">
        <v>28</v>
      </c>
      <c r="B70" s="6"/>
      <c r="C70" s="6" t="e">
        <f>NA()</f>
        <v>#N/A</v>
      </c>
      <c r="D70" s="6" t="e">
        <f>NA()</f>
        <v>#N/A</v>
      </c>
      <c r="E70" s="6" t="e">
        <f>NA()</f>
        <v>#N/A</v>
      </c>
      <c r="F70" s="6" t="e">
        <f>NA()</f>
        <v>#N/A</v>
      </c>
      <c r="G70" s="9">
        <v>452205000000</v>
      </c>
      <c r="H70" s="9">
        <v>591473000000</v>
      </c>
      <c r="I70" s="9">
        <v>739431000000</v>
      </c>
      <c r="J70" s="9">
        <v>874843000000</v>
      </c>
      <c r="K70" s="9">
        <v>1050687000000</v>
      </c>
      <c r="L70" s="9">
        <v>1255458000000</v>
      </c>
      <c r="M70" s="9">
        <v>1718696000000</v>
      </c>
      <c r="N70" s="10">
        <v>2007441000000</v>
      </c>
    </row>
    <row r="71" spans="1:14" ht="12.75">
      <c r="A71" s="36" t="s">
        <v>30</v>
      </c>
      <c r="B71" s="37"/>
      <c r="C71" s="37"/>
      <c r="D71" s="37"/>
      <c r="E71" s="37"/>
      <c r="F71" s="37"/>
      <c r="G71" s="37" t="s">
        <v>32</v>
      </c>
      <c r="H71" s="37" t="s">
        <v>32</v>
      </c>
      <c r="I71" s="37" t="s">
        <v>33</v>
      </c>
      <c r="J71" s="37" t="s">
        <v>33</v>
      </c>
      <c r="K71" s="37" t="s">
        <v>34</v>
      </c>
      <c r="L71" s="37" t="s">
        <v>34</v>
      </c>
      <c r="M71" s="37" t="s">
        <v>35</v>
      </c>
      <c r="N71" s="38" t="s">
        <v>35</v>
      </c>
    </row>
    <row r="72" spans="1:14" ht="12.75">
      <c r="A72" s="56" t="s">
        <v>39</v>
      </c>
      <c r="B72" s="57"/>
      <c r="C72" s="37"/>
      <c r="D72" s="37"/>
      <c r="E72" s="37"/>
      <c r="F72" s="37"/>
      <c r="G72" s="39">
        <f>G$30</f>
        <v>20540.755525550998</v>
      </c>
      <c r="H72" s="39">
        <f aca="true" t="shared" si="42" ref="H72:N72">H$30</f>
        <v>24060.584297285342</v>
      </c>
      <c r="I72" s="39">
        <f t="shared" si="42"/>
        <v>27951.270849976354</v>
      </c>
      <c r="J72" s="39">
        <f t="shared" si="42"/>
        <v>29669.91538074286</v>
      </c>
      <c r="K72" s="39">
        <f t="shared" si="42"/>
        <v>33498.75713201363</v>
      </c>
      <c r="L72" s="39">
        <f t="shared" si="42"/>
        <v>38096.047706747966</v>
      </c>
      <c r="M72" s="39">
        <f t="shared" si="42"/>
        <v>44305.19510525131</v>
      </c>
      <c r="N72" s="40">
        <f t="shared" si="42"/>
        <v>47638.478690553166</v>
      </c>
    </row>
    <row r="73" spans="1:15" ht="12.75">
      <c r="A73" s="56"/>
      <c r="B73" s="57"/>
      <c r="C73" s="41"/>
      <c r="D73" s="41"/>
      <c r="E73" s="41"/>
      <c r="F73" s="41"/>
      <c r="G73" s="41">
        <f>G72*1000000</f>
        <v>20540755525.551</v>
      </c>
      <c r="H73" s="41">
        <f aca="true" t="shared" si="43" ref="H73:N73">H72*1000000</f>
        <v>24060584297.285343</v>
      </c>
      <c r="I73" s="41">
        <f t="shared" si="43"/>
        <v>27951270849.976353</v>
      </c>
      <c r="J73" s="41">
        <f t="shared" si="43"/>
        <v>29669915380.74286</v>
      </c>
      <c r="K73" s="41">
        <f t="shared" si="43"/>
        <v>33498757132.013626</v>
      </c>
      <c r="L73" s="41">
        <f t="shared" si="43"/>
        <v>38096047706.74796</v>
      </c>
      <c r="M73" s="41">
        <f t="shared" si="43"/>
        <v>44305195105.25131</v>
      </c>
      <c r="N73" s="43">
        <f t="shared" si="43"/>
        <v>47638478690.55317</v>
      </c>
      <c r="O73" t="s">
        <v>48</v>
      </c>
    </row>
    <row r="74" spans="1:15" ht="12.75">
      <c r="A74" s="5" t="s">
        <v>31</v>
      </c>
      <c r="B74" s="6"/>
      <c r="C74" s="6"/>
      <c r="D74" s="6"/>
      <c r="E74" s="6"/>
      <c r="F74" s="6"/>
      <c r="G74" s="42">
        <f>G72/G70</f>
        <v>4.542354800488937E-08</v>
      </c>
      <c r="H74" s="42">
        <f aca="true" t="shared" si="44" ref="H74:N74">H72/H70</f>
        <v>4.0679091517762166E-08</v>
      </c>
      <c r="I74" s="42">
        <f t="shared" si="44"/>
        <v>3.780105358035619E-08</v>
      </c>
      <c r="J74" s="42">
        <f t="shared" si="44"/>
        <v>3.391455996189357E-08</v>
      </c>
      <c r="K74" s="42">
        <f t="shared" si="44"/>
        <v>3.1882717814166945E-08</v>
      </c>
      <c r="L74" s="42">
        <f t="shared" si="44"/>
        <v>3.034434262774857E-08</v>
      </c>
      <c r="M74" s="42">
        <f t="shared" si="44"/>
        <v>2.5778377971003196E-08</v>
      </c>
      <c r="N74" s="44">
        <f t="shared" si="44"/>
        <v>2.3730948351933216E-08</v>
      </c>
      <c r="O74" s="51">
        <f>N74/G74</f>
        <v>0.5224371365569864</v>
      </c>
    </row>
    <row r="75" spans="1:14" ht="13.5" thickBot="1">
      <c r="A75" s="11" t="s">
        <v>36</v>
      </c>
      <c r="B75" s="14"/>
      <c r="C75" s="14"/>
      <c r="D75" s="14"/>
      <c r="E75" s="14"/>
      <c r="F75" s="14"/>
      <c r="G75" s="45">
        <f>G72</f>
        <v>20540.755525550998</v>
      </c>
      <c r="H75" s="45">
        <f aca="true" t="shared" si="45" ref="H75:N75">$G72/$G70*H70</f>
        <v>26866.80220909593</v>
      </c>
      <c r="I75" s="45">
        <f t="shared" si="45"/>
        <v>33587.579524803354</v>
      </c>
      <c r="J75" s="45">
        <f t="shared" si="45"/>
        <v>39738.47300724143</v>
      </c>
      <c r="K75" s="45">
        <f t="shared" si="45"/>
        <v>47725.9313826132</v>
      </c>
      <c r="L75" s="45">
        <f t="shared" si="45"/>
        <v>57027.356731122396</v>
      </c>
      <c r="M75" s="45">
        <f t="shared" si="45"/>
        <v>78069.27026181134</v>
      </c>
      <c r="N75" s="46">
        <f t="shared" si="45"/>
        <v>91185.09263048312</v>
      </c>
    </row>
  </sheetData>
  <mergeCells count="6">
    <mergeCell ref="A1:E1"/>
    <mergeCell ref="A2:E2"/>
    <mergeCell ref="A72:B73"/>
    <mergeCell ref="A63:B64"/>
    <mergeCell ref="A45:B46"/>
    <mergeCell ref="A54:B55"/>
  </mergeCells>
  <printOptions/>
  <pageMargins left="0.75" right="0.75" top="1" bottom="1" header="0.4921259845" footer="0.4921259845"/>
  <pageSetup fitToWidth="3" fitToHeight="1" horizontalDpi="300" verticalDpi="300" orientation="landscape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Rechtsanwalt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Harald Wozniewski</dc:creator>
  <cp:keywords/>
  <dc:description/>
  <cp:lastModifiedBy>Dr. Harald Wozniewski</cp:lastModifiedBy>
  <cp:lastPrinted>2003-07-15T12:07:11Z</cp:lastPrinted>
  <dcterms:created xsi:type="dcterms:W3CDTF">2002-03-15T12:02:25Z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